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45" activeTab="0"/>
  </bookViews>
  <sheets>
    <sheet name="parcelle5_2008_xls" sheetId="1" r:id="rId1"/>
  </sheets>
  <definedNames>
    <definedName name="Excel_BuiltIn_Print_Area_1">'parcelle5_2008_xls'!$A$7:$H$76</definedName>
    <definedName name="Excel_BuiltIn_Print_Area_1_1">'parcelle5_2008_xls'!$A$5:$H$76</definedName>
  </definedNames>
  <calcPr fullCalcOnLoad="1"/>
</workbook>
</file>

<file path=xl/sharedStrings.xml><?xml version="1.0" encoding="utf-8"?>
<sst xmlns="http://schemas.openxmlformats.org/spreadsheetml/2006/main" count="464" uniqueCount="313">
  <si>
    <t>IL PRESENTE FILE NON PUO' ESSERE DIFFUSO SENZA LE ISTRUZIONI RELATIVE</t>
  </si>
  <si>
    <t>netto mq/mc 30/70% in £</t>
  </si>
  <si>
    <t>fino 1000mq 70%</t>
  </si>
  <si>
    <t>oltre fino 5000mq 70%</t>
  </si>
  <si>
    <t>di più oltre 5000mq 70%</t>
  </si>
  <si>
    <t>DIM. IN PIANTA ML</t>
  </si>
  <si>
    <t>MQ</t>
  </si>
  <si>
    <t>capannoni semplici fino 6 m</t>
  </si>
  <si>
    <t>£/MQ x 70%</t>
  </si>
  <si>
    <t>&lt;1000MQ</t>
  </si>
  <si>
    <t>abit</t>
  </si>
  <si>
    <t>lusso</t>
  </si>
  <si>
    <t>scuole</t>
  </si>
  <si>
    <t>ALTEZZA</t>
  </si>
  <si>
    <t>MC</t>
  </si>
  <si>
    <t>abitazioni normali</t>
  </si>
  <si>
    <t>£/MC x 30%</t>
  </si>
  <si>
    <t>se MQ in euro</t>
  </si>
  <si>
    <t>se MC in euro</t>
  </si>
  <si>
    <t>fino 6</t>
  </si>
  <si>
    <t>6-8</t>
  </si>
  <si>
    <t>oltre 8</t>
  </si>
  <si>
    <t>IMPORTO STRUTTURE C.A.</t>
  </si>
  <si>
    <t>se MQ in £</t>
  </si>
  <si>
    <t>se MC in £</t>
  </si>
  <si>
    <t>EURO= £</t>
  </si>
  <si>
    <t>AGGIORNAMENTO 1/2011</t>
  </si>
  <si>
    <t>PROGRAMMA CORREZIONE PARCELLE GRATUITO VEDI ISTRUZIONI ALLEGATE</t>
  </si>
  <si>
    <t>MILIONI</t>
  </si>
  <si>
    <t xml:space="preserve">                     ING. BRODOLINI MARIO-FRANCESCO VIA VENIERI 1 62019 RECANATI TEL. 071981237 - 335365103 AGG. MARZO 2006</t>
  </si>
  <si>
    <t>TABELLE</t>
  </si>
  <si>
    <t xml:space="preserve">                     ING. BRODOLINI MARIO-FRANCESCO VIA VENIERI 1 62019 RECANATI TEL. 071981237 IL PRESENTE FILE NON PUO' ESSERE DIFFUSO SENZA LE ISTRUZIONI RELATIVE</t>
  </si>
  <si>
    <t>CONTROLLI</t>
  </si>
  <si>
    <t>&lt;--------- 3/2006 aggiornamento programma - ing. Brodolini Mario-Francesco  via Venieri 1   62019 Recanati MC Tel. 071981237 - 335365103</t>
  </si>
  <si>
    <t>A</t>
  </si>
  <si>
    <t>B</t>
  </si>
  <si>
    <t>C</t>
  </si>
  <si>
    <t>D</t>
  </si>
  <si>
    <t>E</t>
  </si>
  <si>
    <t>F</t>
  </si>
  <si>
    <t>G</t>
  </si>
  <si>
    <t>(PRIVATI)</t>
  </si>
  <si>
    <t>IN EURO</t>
  </si>
  <si>
    <t>IN LIRE</t>
  </si>
  <si>
    <t>CLASSE DELL'OPERA (1,2,....,9)</t>
  </si>
  <si>
    <t>CATEGORIA (A,B,C,D,...........)</t>
  </si>
  <si>
    <t xml:space="preserve"> % PROGETTI DI MASSIMA</t>
  </si>
  <si>
    <t>&lt;0,25</t>
  </si>
  <si>
    <t>IMPORTI</t>
  </si>
  <si>
    <t>ALIQUOTE %</t>
  </si>
  <si>
    <t xml:space="preserve">IMPORTO LAVORI </t>
  </si>
  <si>
    <t xml:space="preserve"> % PREVENTIVO SOMMARIO</t>
  </si>
  <si>
    <t>&gt;=0,25</t>
  </si>
  <si>
    <t>&lt;0,5</t>
  </si>
  <si>
    <t>/1000</t>
  </si>
  <si>
    <t>CALCOLATE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</si>
  <si>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</si>
  <si>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</si>
  <si>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</si>
  <si>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</si>
  <si>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</si>
  <si>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</si>
  <si>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</si>
  <si>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</si>
  <si>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</si>
  <si>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</si>
  <si>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3a</t>
  </si>
  <si>
    <t>3b</t>
  </si>
  <si>
    <t>3c</t>
  </si>
  <si>
    <t xml:space="preserve">             4a</t>
  </si>
  <si>
    <t xml:space="preserve">             4b</t>
  </si>
  <si>
    <t xml:space="preserve">             4c</t>
  </si>
  <si>
    <t>6a</t>
  </si>
  <si>
    <t>6b</t>
  </si>
  <si>
    <t>7a</t>
  </si>
  <si>
    <t>7b</t>
  </si>
  <si>
    <t>7c</t>
  </si>
  <si>
    <t>9a</t>
  </si>
  <si>
    <t>9b</t>
  </si>
  <si>
    <t>9c</t>
  </si>
  <si>
    <t xml:space="preserve">IMPORTO INFERIORE </t>
  </si>
  <si>
    <t xml:space="preserve"> % PROGETTO ESECUTIVO</t>
  </si>
  <si>
    <t>&gt;=0,5</t>
  </si>
  <si>
    <t>&lt;1</t>
  </si>
  <si>
    <t>ALIQUOTA INFERIORE %</t>
  </si>
  <si>
    <t xml:space="preserve"> % PREVENTIVO PARTICOLAREGGIATO</t>
  </si>
  <si>
    <t>&gt;=1</t>
  </si>
  <si>
    <t>&lt;2,5</t>
  </si>
  <si>
    <t>IMPORTO SUPERIORE</t>
  </si>
  <si>
    <t xml:space="preserve"> % PARTICOLARI COSTRUTTIVI DECOR.</t>
  </si>
  <si>
    <t>&gt;=2,5</t>
  </si>
  <si>
    <t>&lt;5</t>
  </si>
  <si>
    <t>ALIQUOTA SUPERIORE %</t>
  </si>
  <si>
    <t xml:space="preserve"> % CAPITOLATI E CONTRATTI</t>
  </si>
  <si>
    <t xml:space="preserve">Routine </t>
  </si>
  <si>
    <t>&gt;=5</t>
  </si>
  <si>
    <t>&lt;10</t>
  </si>
  <si>
    <t>aliquota x eccedenza &gt; 5 miliardi %</t>
  </si>
  <si>
    <t xml:space="preserve"> % DIREZIONE LAVORI</t>
  </si>
  <si>
    <t>inc. parziale</t>
  </si>
  <si>
    <t>&gt;=10</t>
  </si>
  <si>
    <t>&lt;15</t>
  </si>
  <si>
    <t>differenza x eccedenza &gt; 5 miliardi</t>
  </si>
  <si>
    <t>H</t>
  </si>
  <si>
    <t xml:space="preserve"> % PROVE DI OFFICINA</t>
  </si>
  <si>
    <t>o art. 16</t>
  </si>
  <si>
    <t>&gt;=15</t>
  </si>
  <si>
    <t>&lt;20</t>
  </si>
  <si>
    <t>ALIQUOTA %</t>
  </si>
  <si>
    <t>I</t>
  </si>
  <si>
    <t xml:space="preserve"> % ASSISTENZA AL COLLAUDO</t>
  </si>
  <si>
    <t>&gt;=20</t>
  </si>
  <si>
    <t>&lt;30</t>
  </si>
  <si>
    <t>PARCELLA PIENA</t>
  </si>
  <si>
    <t>L</t>
  </si>
  <si>
    <t xml:space="preserve"> % LIQUIDAZIONE</t>
  </si>
  <si>
    <t xml:space="preserve">  INCARICO</t>
  </si>
  <si>
    <t>&gt;=30</t>
  </si>
  <si>
    <t>&lt;40</t>
  </si>
  <si>
    <t>ALIQUOTA ARROTONDATA %</t>
  </si>
  <si>
    <t xml:space="preserve"> % TOTALE</t>
  </si>
  <si>
    <t>PARZIALE %</t>
  </si>
  <si>
    <t>&gt;=40</t>
  </si>
  <si>
    <t>&lt;50</t>
  </si>
  <si>
    <t>PARCELLA PROGETTAZIONE</t>
  </si>
  <si>
    <t>PARZIALIZZ. %</t>
  </si>
  <si>
    <t>&gt;=50</t>
  </si>
  <si>
    <t>&lt;100</t>
  </si>
  <si>
    <t>IMPORTO LAVORO DIRETTO</t>
  </si>
  <si>
    <t>&gt;=100</t>
  </si>
  <si>
    <t>&lt;150</t>
  </si>
  <si>
    <t>PERCENTUALE</t>
  </si>
  <si>
    <t>&gt;=150</t>
  </si>
  <si>
    <t>&lt;200</t>
  </si>
  <si>
    <t>PARCELLA DIREZ. LAVORI</t>
  </si>
  <si>
    <t>&gt;=200</t>
  </si>
  <si>
    <t>&lt;250</t>
  </si>
  <si>
    <t>TOTALE PARZIALE</t>
  </si>
  <si>
    <t>&gt;=250</t>
  </si>
  <si>
    <t>&lt;300</t>
  </si>
  <si>
    <t>EV. AUMENTO                 %</t>
  </si>
  <si>
    <t>%</t>
  </si>
  <si>
    <t>PREST. PARZIALE ART. 18</t>
  </si>
  <si>
    <t>&gt;=300</t>
  </si>
  <si>
    <t>&lt;400</t>
  </si>
  <si>
    <t>ARTICOLO 16</t>
  </si>
  <si>
    <t>&gt;=400</t>
  </si>
  <si>
    <t>&lt;500</t>
  </si>
  <si>
    <t>EV. RIDUZIONE (MAX 20 %)</t>
  </si>
  <si>
    <t>%  LEGGE 155/89</t>
  </si>
  <si>
    <t>&gt;=500</t>
  </si>
  <si>
    <t>&lt;600</t>
  </si>
  <si>
    <t>IMPORTO PARCELLA A %</t>
  </si>
  <si>
    <t>&gt;=600</t>
  </si>
  <si>
    <t>&lt;700</t>
  </si>
  <si>
    <t>solo collaudo ? (S=si N=no)</t>
  </si>
  <si>
    <t>N</t>
  </si>
  <si>
    <t>revis. o redaz. calcoli? (S=si, N=no)</t>
  </si>
  <si>
    <t>&gt;=700</t>
  </si>
  <si>
    <t>&lt;800</t>
  </si>
  <si>
    <t>trattasi di ponte? (S=si, N=no)</t>
  </si>
  <si>
    <t>contabilità? (S=si, N=no)</t>
  </si>
  <si>
    <t>&gt;=800</t>
  </si>
  <si>
    <t>&lt;900</t>
  </si>
  <si>
    <t>COEFFICIENTE DI COLLAUDO</t>
  </si>
  <si>
    <t>&gt;=900</t>
  </si>
  <si>
    <t>&lt;1000</t>
  </si>
  <si>
    <t>IMPORTO COLLAUDO BASE</t>
  </si>
  <si>
    <t>&gt;=1000</t>
  </si>
  <si>
    <t>&lt;1500</t>
  </si>
  <si>
    <t>REVISIONE CALCOLI STATICI</t>
  </si>
  <si>
    <t>&gt;=1500</t>
  </si>
  <si>
    <t>&lt;2000</t>
  </si>
  <si>
    <t>per redazione ex novo dei calcoli statici calcolarne il valore come progetto a parte ed inserirlo nella casella superiore</t>
  </si>
  <si>
    <t>&gt;=2000</t>
  </si>
  <si>
    <t>&lt;3000</t>
  </si>
  <si>
    <t>TOTALE COLLAUDO £</t>
  </si>
  <si>
    <t>&gt;=3000</t>
  </si>
  <si>
    <t>&lt;4000</t>
  </si>
  <si>
    <t>CONTABILITA' fino a 5 milioni                           %</t>
  </si>
  <si>
    <t>&gt;=4000</t>
  </si>
  <si>
    <t>&lt;5000</t>
  </si>
  <si>
    <t>da 5 a 20 milioni                        %</t>
  </si>
  <si>
    <t>&gt;=5000</t>
  </si>
  <si>
    <t>da 20 a 50 milioni                      %</t>
  </si>
  <si>
    <t>ALIQUOTA OLTRE 5000 ----&gt;</t>
  </si>
  <si>
    <t>da 50 a 100 milioni                   %</t>
  </si>
  <si>
    <t xml:space="preserve">  INF.</t>
  </si>
  <si>
    <t xml:space="preserve"> %</t>
  </si>
  <si>
    <t xml:space="preserve">         oltre</t>
  </si>
  <si>
    <t>oltre 100 milioni                       %</t>
  </si>
  <si>
    <t xml:space="preserve">  SUP.</t>
  </si>
  <si>
    <t xml:space="preserve">          %</t>
  </si>
  <si>
    <t>TOTALE CONTABILITA' AL LORDO DI RETTIFICHE</t>
  </si>
  <si>
    <t>riduzione lavori non di classe 1° in % -30%</t>
  </si>
  <si>
    <t>riduz. contabilità</t>
  </si>
  <si>
    <t xml:space="preserve">       parziale</t>
  </si>
  <si>
    <t>1 A,B,C,D</t>
  </si>
  <si>
    <t>1E</t>
  </si>
  <si>
    <t>1 F,G</t>
  </si>
  <si>
    <t>aumento per lavori di ripristino in % 20%</t>
  </si>
  <si>
    <t>maggiorazione contabilità in %</t>
  </si>
  <si>
    <t>TOTALE CONTABILITA' MODIFICATA</t>
  </si>
  <si>
    <t>TOTALE PRESTAZIONI A %</t>
  </si>
  <si>
    <t>ALIQ. COMPENSI ACCESSORI</t>
  </si>
  <si>
    <t xml:space="preserve">  %</t>
  </si>
  <si>
    <t xml:space="preserve">accessori sisma </t>
  </si>
  <si>
    <t>luogo di residenza</t>
  </si>
  <si>
    <t>COMPENSI ACCESSORI</t>
  </si>
  <si>
    <t>fuori res. &lt; 50 km</t>
  </si>
  <si>
    <t>VACAZIONI (110.000 £/H)</t>
  </si>
  <si>
    <t>ORE IN N.</t>
  </si>
  <si>
    <t>fuori res. &gt; 50 &lt;100 km</t>
  </si>
  <si>
    <t>VACAZIONI (73.500 £/H)</t>
  </si>
  <si>
    <t>fuori res. &gt; 100 km</t>
  </si>
  <si>
    <t>VACAZIONI (55.000 £/H)</t>
  </si>
  <si>
    <t xml:space="preserve">TOTALE   </t>
  </si>
  <si>
    <t>RIDUZIONE L. 26.4.89 N. 155 ART. 12 BIS %</t>
  </si>
  <si>
    <t>CAUZIONE L.R.49/92 (20%)</t>
  </si>
  <si>
    <t>SCONTO % QUALE DIPENDENTE (1/3-1/2) %</t>
  </si>
  <si>
    <t>IMPORTI A FORFAIT</t>
  </si>
  <si>
    <t>TOTALE</t>
  </si>
  <si>
    <t>*NB collaudo statico750 euro minimo</t>
  </si>
  <si>
    <t>IMPONIBILE ARROTONDATO</t>
  </si>
  <si>
    <t>ADDEBITO CONTRIBUTO PREVIDENZIALE (4%)</t>
  </si>
  <si>
    <t>* L. 662/96 art. 1 c. 212</t>
  </si>
  <si>
    <t>INPONIBILE AI FINI IRPEF E INARCASSA</t>
  </si>
  <si>
    <t>INARCASSA 2% (CONTR. INTEGRAT.)</t>
  </si>
  <si>
    <t>*Decr. Interministeriale 5.3.2010</t>
  </si>
  <si>
    <t xml:space="preserve">IMPONIBILE AI FINI IVA </t>
  </si>
  <si>
    <t>IVA (20%)</t>
  </si>
  <si>
    <t>TOTALE FATTURA</t>
  </si>
  <si>
    <t>RITENUTA 20% (IMPON. IRPEF VEDI ISTR.)</t>
  </si>
  <si>
    <t xml:space="preserve">        TOTALE</t>
  </si>
  <si>
    <t>VISTO P. 1% A CARICO PROGETTISTA</t>
  </si>
  <si>
    <t xml:space="preserve"> ENTI PUBBLICI O ASSIMILABILI</t>
  </si>
  <si>
    <t>*NB minimo visto 20,00 euro</t>
  </si>
  <si>
    <t>VISTO PARCELLA 2% AL PRIVATO</t>
  </si>
  <si>
    <t xml:space="preserve"> PRIVATI</t>
  </si>
  <si>
    <t>rimborsi a piè di lista in altern. ai rimb. % (mettere a zero i rimborsi o la %)</t>
  </si>
  <si>
    <t>bolli</t>
  </si>
  <si>
    <t>km (2/5 benzina super)</t>
  </si>
  <si>
    <t>altro</t>
  </si>
  <si>
    <t>totale rimborsi a piè di lista</t>
  </si>
  <si>
    <t>(più ev. visto parcella)</t>
  </si>
  <si>
    <t xml:space="preserve">       IMPORTO DA VERSARE</t>
  </si>
  <si>
    <t xml:space="preserve"> ENTI</t>
  </si>
  <si>
    <t xml:space="preserve">   COSTRUZIONE NUOVI EDIFICI</t>
  </si>
  <si>
    <t>COSTO DI MERCATO</t>
  </si>
  <si>
    <t>% INCIDENZA</t>
  </si>
  <si>
    <t xml:space="preserve">          COSTO DI MERCATO</t>
  </si>
  <si>
    <t>EURO / MC</t>
  </si>
  <si>
    <t>STRUTTURE</t>
  </si>
  <si>
    <t>EURO / MQ</t>
  </si>
  <si>
    <t>LIRE / MC</t>
  </si>
  <si>
    <t>LIRE / MQ</t>
  </si>
  <si>
    <t>EDIFICI DEL TIPO 1 a</t>
  </si>
  <si>
    <t>ABITAZIONI</t>
  </si>
  <si>
    <t>LUSSO,ALBERGHI, CASE ALBERGO,DI RIPOSO</t>
  </si>
  <si>
    <t>EDIFICI COMMERCIALI IMPORTANTI,</t>
  </si>
  <si>
    <t>EDIFICI DIREZIONALI, OSPEDALI,</t>
  </si>
  <si>
    <t>CLINICHE, CASE DI CURA</t>
  </si>
  <si>
    <t>SCUOLE</t>
  </si>
  <si>
    <t xml:space="preserve">CAPANNONI SEMPLICI 1 a  </t>
  </si>
  <si>
    <t>in lire</t>
  </si>
  <si>
    <t xml:space="preserve"> FINO A M. 6 DI ALTEZZA</t>
  </si>
  <si>
    <t xml:space="preserve">STABILIMENTI INDUSTRIALI </t>
  </si>
  <si>
    <t>ALTRE CAT.</t>
  </si>
  <si>
    <t>CAT 1G</t>
  </si>
  <si>
    <t xml:space="preserve"> FINO A M. 6 DI ALTEZZA OGNI PIANO FINO 1000 MQ</t>
  </si>
  <si>
    <t xml:space="preserve"> FINO A M. 6 DI ALTEZZA OGNI PIANO 1000/5000 MQ</t>
  </si>
  <si>
    <t xml:space="preserve"> FINO A M. 6 DI ALTEZZA OGNI PIANO OLTRE 5000 MQ</t>
  </si>
  <si>
    <t>TRA  6 E 8 M    "                 "         " FINO 1000 MQ</t>
  </si>
  <si>
    <t>TRA  6 E 8 M    "                 "         "  1000/5000 MQ</t>
  </si>
  <si>
    <t>TRA  6 E 8 M    "                 "         " OLTRE 5000 MQ</t>
  </si>
  <si>
    <t xml:space="preserve"> OLTRE M.  8    "                 "         " FINO 1000 MQ</t>
  </si>
  <si>
    <t xml:space="preserve"> OLTRE M.  8    "                 "         "  1000/5000 MQ</t>
  </si>
  <si>
    <t xml:space="preserve"> OLTRE M.  8    "                 "         " OLTRE 5000 MQ</t>
  </si>
  <si>
    <t>RISTRUTTURAZIONE DI EDIFICI</t>
  </si>
  <si>
    <t>R10-SOSTITUZ. SERVIZI IGIENICI ED IMPIANTI</t>
  </si>
  <si>
    <t>R20-ADEGUAM. SERVIZI IGIENICI ED IMPIANTI</t>
  </si>
  <si>
    <t>R30-     "             "            "              " + PAVIM.</t>
  </si>
  <si>
    <t>R40-     "          "        "          " + VAR. DISTRIB.</t>
  </si>
  <si>
    <t>R50- RISTRUTT. PARZIALE O TOTALE</t>
  </si>
  <si>
    <t xml:space="preserve">  NB VOLUME PER OGNI UNITA' IMMOBILIARE</t>
  </si>
  <si>
    <t>benzina super</t>
  </si>
  <si>
    <t>euro al litro</t>
  </si>
  <si>
    <t>S</t>
  </si>
  <si>
    <t>minimo</t>
  </si>
  <si>
    <t>massimo</t>
  </si>
  <si>
    <t>contabilità ?</t>
  </si>
  <si>
    <t>collaudo ?</t>
  </si>
  <si>
    <t>collaudo di ponte ?</t>
  </si>
  <si>
    <t>incarico completo?</t>
  </si>
  <si>
    <t>solo progetto?</t>
  </si>
  <si>
    <t>solo DD LL?</t>
  </si>
  <si>
    <t>lavoro in residenza?</t>
  </si>
  <si>
    <t>fuori res. entro100 km?</t>
  </si>
  <si>
    <t>fuori res. oltre 100 km?</t>
  </si>
  <si>
    <t>correzione massimi</t>
  </si>
  <si>
    <t>non collaudo</t>
  </si>
  <si>
    <t>fuori residenza? (S=si N=no)</t>
  </si>
  <si>
    <t>collaudo di ponte in classe 9?</t>
  </si>
  <si>
    <t>categoria a oppure b?</t>
  </si>
  <si>
    <t>ponte?</t>
  </si>
  <si>
    <t>collaudo di ponte in classe 1?</t>
  </si>
  <si>
    <t>categoria g?</t>
  </si>
  <si>
    <t>spese in caso di collaudo</t>
  </si>
  <si>
    <t>minimo/massimo</t>
  </si>
  <si>
    <t>fuori residenza?</t>
  </si>
  <si>
    <t>revisione o redaz. calcoli statici?</t>
  </si>
  <si>
    <t>rimbosi a pié di lista</t>
  </si>
  <si>
    <t>TOTALE DI CONTROLLO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</si>
</sst>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000"/>
    <numFmt numFmtId="166" formatCode="#,##0;\-#,##0"/>
    <numFmt numFmtId="167" formatCode="0%"/>
    <numFmt numFmtId="168" formatCode="0"/>
    <numFmt numFmtId="169" formatCode="#,##0"/>
    <numFmt numFmtId="170" formatCode="#,##0.00"/>
    <numFmt numFmtId="171" formatCode="DD\-MMM"/>
    <numFmt numFmtId="172" formatCode="0.00"/>
    <numFmt numFmtId="173" formatCode="0.00000000"/>
    <numFmt numFmtId="174" formatCode="0.000000"/>
    <numFmt numFmtId="175" formatCode="#,###.00"/>
  </numFmts>
  <fonts count="16">
    <font>
      <sz val="10"/>
      <name val="Geneva"/>
      <family val="2"/>
    </font>
    <font>
      <sz val="10"/>
      <name val="Arial"/>
      <family val="0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sz val="10"/>
      <color indexed="38"/>
      <name val="Geneva"/>
      <family val="2"/>
    </font>
    <font>
      <i/>
      <sz val="10"/>
      <color indexed="12"/>
      <name val="Geneva"/>
      <family val="2"/>
    </font>
    <font>
      <sz val="10"/>
      <color indexed="8"/>
      <name val="Geneva"/>
      <family val="2"/>
    </font>
    <font>
      <sz val="10"/>
      <color indexed="57"/>
      <name val="Geneva"/>
      <family val="2"/>
    </font>
    <font>
      <b/>
      <sz val="10"/>
      <name val="Geneva"/>
      <family val="2"/>
    </font>
    <font>
      <i/>
      <sz val="10"/>
      <color indexed="10"/>
      <name val="Geneva"/>
      <family val="2"/>
    </font>
    <font>
      <b/>
      <sz val="10"/>
      <color indexed="38"/>
      <name val="Geneva"/>
      <family val="2"/>
    </font>
    <font>
      <b/>
      <i/>
      <sz val="10"/>
      <name val="Geneva"/>
      <family val="2"/>
    </font>
    <font>
      <i/>
      <sz val="10"/>
      <color indexed="57"/>
      <name val="Geneva"/>
      <family val="2"/>
    </font>
    <font>
      <b/>
      <sz val="10"/>
      <color indexed="21"/>
      <name val="Geneva"/>
      <family val="2"/>
    </font>
    <font>
      <i/>
      <sz val="10"/>
      <color indexed="17"/>
      <name val="Geneva"/>
      <family val="2"/>
    </font>
    <font>
      <sz val="10"/>
      <color indexed="12"/>
      <name val="Genev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left"/>
    </xf>
    <xf numFmtId="17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70" fontId="9" fillId="0" borderId="0" xfId="0" applyNumberFormat="1" applyFont="1" applyAlignment="1">
      <alignment/>
    </xf>
    <xf numFmtId="169" fontId="6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173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9" fontId="8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70" fontId="12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right"/>
    </xf>
    <xf numFmtId="172" fontId="5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164" fontId="4" fillId="0" borderId="0" xfId="0" applyFont="1" applyAlignment="1">
      <alignment horizontal="center"/>
    </xf>
    <xf numFmtId="169" fontId="1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 horizontal="right"/>
    </xf>
    <xf numFmtId="172" fontId="14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8" fontId="1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164" fontId="0" fillId="0" borderId="5" xfId="0" applyBorder="1" applyAlignment="1">
      <alignment/>
    </xf>
    <xf numFmtId="168" fontId="0" fillId="0" borderId="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150"/>
  <sheetViews>
    <sheetView tabSelected="1" workbookViewId="0" topLeftCell="A1">
      <selection activeCell="C3" sqref="C3"/>
    </sheetView>
  </sheetViews>
  <sheetFormatPr defaultColWidth="11.00390625" defaultRowHeight="12.75"/>
  <cols>
    <col min="1" max="1" width="32.875" style="0" customWidth="1"/>
    <col min="2" max="2" width="12.375" style="0" customWidth="1"/>
    <col min="3" max="3" width="13.125" style="0" customWidth="1"/>
    <col min="4" max="4" width="10.875" style="0" customWidth="1"/>
    <col min="5" max="5" width="4.00390625" style="0" customWidth="1"/>
    <col min="6" max="6" width="6.75390625" style="0" customWidth="1"/>
    <col min="7" max="7" width="11.75390625" style="0" customWidth="1"/>
    <col min="8" max="8" width="12.625" style="0" customWidth="1"/>
    <col min="9" max="9" width="9.75390625" style="0" customWidth="1"/>
    <col min="16" max="18" width="11.00390625" style="1" customWidth="1"/>
    <col min="23" max="49" width="11.00390625" style="1" customWidth="1"/>
    <col min="50" max="50" width="11.00390625" style="2" customWidth="1"/>
    <col min="51" max="113" width="11.00390625" style="1" customWidth="1"/>
  </cols>
  <sheetData>
    <row r="1" spans="1:21" ht="12">
      <c r="A1" s="3" t="s">
        <v>0</v>
      </c>
      <c r="G1" s="4" t="s">
        <v>1</v>
      </c>
      <c r="L1" s="5">
        <v>0.3</v>
      </c>
      <c r="O1" s="4" t="s">
        <v>2</v>
      </c>
      <c r="R1" s="6" t="s">
        <v>3</v>
      </c>
      <c r="U1" s="4" t="s">
        <v>4</v>
      </c>
    </row>
    <row r="2" spans="1:22" ht="12">
      <c r="A2" t="s">
        <v>5</v>
      </c>
      <c r="B2" s="7">
        <v>100</v>
      </c>
      <c r="C2" s="7">
        <v>10</v>
      </c>
      <c r="D2" s="8">
        <f>B2*C2</f>
        <v>1000</v>
      </c>
      <c r="E2" s="9" t="s">
        <v>6</v>
      </c>
      <c r="F2" s="9" t="s">
        <v>7</v>
      </c>
      <c r="G2" s="10">
        <f>H94</f>
        <v>433724.48</v>
      </c>
      <c r="H2" s="9" t="s">
        <v>8</v>
      </c>
      <c r="I2" s="9" t="s">
        <v>9</v>
      </c>
      <c r="K2" s="9" t="s">
        <v>10</v>
      </c>
      <c r="L2" s="9" t="s">
        <v>11</v>
      </c>
      <c r="M2" s="9" t="s">
        <v>12</v>
      </c>
      <c r="N2">
        <v>330</v>
      </c>
      <c r="O2">
        <v>310</v>
      </c>
      <c r="P2" s="1">
        <v>280</v>
      </c>
      <c r="Q2" s="1">
        <v>320</v>
      </c>
      <c r="R2" s="1">
        <v>300</v>
      </c>
      <c r="S2">
        <v>270</v>
      </c>
      <c r="T2">
        <v>350</v>
      </c>
      <c r="U2">
        <v>320</v>
      </c>
      <c r="V2">
        <v>300</v>
      </c>
    </row>
    <row r="3" spans="1:22" ht="12">
      <c r="A3" t="s">
        <v>13</v>
      </c>
      <c r="B3" s="7">
        <v>6</v>
      </c>
      <c r="C3" s="7"/>
      <c r="D3" s="11">
        <f>D2*B3</f>
        <v>6000</v>
      </c>
      <c r="E3" s="9" t="s">
        <v>14</v>
      </c>
      <c r="F3" s="9" t="s">
        <v>15</v>
      </c>
      <c r="G3" s="10">
        <f>G84</f>
        <v>162646.68</v>
      </c>
      <c r="H3" s="9" t="s">
        <v>16</v>
      </c>
      <c r="I3" s="12" t="s">
        <v>17</v>
      </c>
      <c r="J3" s="12" t="s">
        <v>18</v>
      </c>
      <c r="K3">
        <v>280</v>
      </c>
      <c r="L3">
        <v>400</v>
      </c>
      <c r="M3">
        <v>240</v>
      </c>
      <c r="N3" t="s">
        <v>19</v>
      </c>
      <c r="O3" s="13" t="s">
        <v>20</v>
      </c>
      <c r="P3" s="1" t="s">
        <v>21</v>
      </c>
      <c r="Q3" s="1" t="s">
        <v>19</v>
      </c>
      <c r="R3" s="14" t="s">
        <v>20</v>
      </c>
      <c r="S3" t="s">
        <v>21</v>
      </c>
      <c r="T3" t="s">
        <v>19</v>
      </c>
      <c r="U3" s="13" t="s">
        <v>20</v>
      </c>
      <c r="V3" t="s">
        <v>21</v>
      </c>
    </row>
    <row r="4" spans="1:10" ht="12">
      <c r="A4" t="s">
        <v>22</v>
      </c>
      <c r="B4" s="15">
        <f>D2*G2</f>
        <v>433724480</v>
      </c>
      <c r="C4" s="15" t="s">
        <v>23</v>
      </c>
      <c r="D4" s="15">
        <f>D3*G3</f>
        <v>975880080</v>
      </c>
      <c r="E4" s="15" t="s">
        <v>24</v>
      </c>
      <c r="F4" s="9"/>
      <c r="G4" s="16" t="s">
        <v>25</v>
      </c>
      <c r="H4" s="17">
        <v>1936.27</v>
      </c>
      <c r="I4" s="12">
        <f>B4/H4</f>
        <v>224000</v>
      </c>
      <c r="J4" s="12">
        <f>D4/H4</f>
        <v>504000</v>
      </c>
    </row>
    <row r="5" spans="1:76" ht="12">
      <c r="A5" s="3" t="s">
        <v>26</v>
      </c>
      <c r="B5" s="3" t="s">
        <v>27</v>
      </c>
      <c r="D5" s="9"/>
      <c r="E5" s="9"/>
      <c r="F5" s="9"/>
      <c r="G5" s="9"/>
      <c r="H5" s="9"/>
      <c r="I5" s="9"/>
      <c r="J5" s="18">
        <f>C9/1000000</f>
        <v>975.88008</v>
      </c>
      <c r="L5" t="s">
        <v>28</v>
      </c>
      <c r="N5" t="s">
        <v>28</v>
      </c>
      <c r="AN5" s="1" t="s">
        <v>29</v>
      </c>
      <c r="AO5" s="1" t="s">
        <v>30</v>
      </c>
      <c r="AV5" s="1" t="s">
        <v>31</v>
      </c>
      <c r="AW5" s="1" t="s">
        <v>32</v>
      </c>
      <c r="AX5" s="2" t="s">
        <v>33</v>
      </c>
      <c r="AY5" s="1" t="s">
        <v>34</v>
      </c>
      <c r="AZ5" s="1" t="s">
        <v>35</v>
      </c>
      <c r="BA5" s="1" t="s">
        <v>36</v>
      </c>
      <c r="BB5" s="1" t="s">
        <v>37</v>
      </c>
      <c r="BC5" s="1" t="s">
        <v>38</v>
      </c>
      <c r="BD5" s="1" t="s">
        <v>39</v>
      </c>
      <c r="BE5" s="1" t="s">
        <v>40</v>
      </c>
      <c r="BF5" s="1" t="s">
        <v>34</v>
      </c>
      <c r="BG5" s="1" t="s">
        <v>35</v>
      </c>
      <c r="BH5" s="1" t="s">
        <v>36</v>
      </c>
      <c r="BI5" s="1" t="s">
        <v>34</v>
      </c>
      <c r="BJ5" s="1" t="s">
        <v>35</v>
      </c>
      <c r="BK5" s="1" t="s">
        <v>36</v>
      </c>
      <c r="BL5" s="1" t="s">
        <v>34</v>
      </c>
      <c r="BM5" s="1" t="s">
        <v>35</v>
      </c>
      <c r="BN5" s="1" t="s">
        <v>36</v>
      </c>
      <c r="BP5" s="1" t="s">
        <v>34</v>
      </c>
      <c r="BQ5" s="1" t="s">
        <v>35</v>
      </c>
      <c r="BR5" s="1" t="s">
        <v>34</v>
      </c>
      <c r="BS5" s="1" t="s">
        <v>35</v>
      </c>
      <c r="BT5" s="1" t="s">
        <v>36</v>
      </c>
      <c r="BV5" s="1" t="s">
        <v>34</v>
      </c>
      <c r="BW5" s="1" t="s">
        <v>35</v>
      </c>
      <c r="BX5" s="1" t="s">
        <v>36</v>
      </c>
    </row>
    <row r="6" spans="1:9" ht="12">
      <c r="A6" s="3" t="s">
        <v>41</v>
      </c>
      <c r="B6" s="19" t="s">
        <v>42</v>
      </c>
      <c r="C6" s="3" t="s">
        <v>43</v>
      </c>
      <c r="D6" s="3"/>
      <c r="E6" s="9"/>
      <c r="F6" s="9"/>
      <c r="G6" s="9"/>
      <c r="H6" s="9"/>
      <c r="I6" s="9"/>
    </row>
    <row r="7" spans="1:3" ht="12">
      <c r="A7" t="s">
        <v>44</v>
      </c>
      <c r="B7" s="20">
        <v>1</v>
      </c>
      <c r="C7" s="4">
        <f>B7</f>
        <v>1</v>
      </c>
    </row>
    <row r="8" spans="1:76" ht="12.75">
      <c r="A8" t="s">
        <v>45</v>
      </c>
      <c r="B8" s="20" t="s">
        <v>40</v>
      </c>
      <c r="C8" s="4" t="str">
        <f>B8</f>
        <v>G</v>
      </c>
      <c r="D8" s="21" t="s">
        <v>34</v>
      </c>
      <c r="E8" s="22">
        <f>BL43</f>
        <v>8</v>
      </c>
      <c r="F8" s="9" t="s">
        <v>46</v>
      </c>
      <c r="I8" s="18">
        <f>B9-B10</f>
        <v>39188.790819462156</v>
      </c>
      <c r="K8" t="b">
        <f>J5&lt;0.25</f>
        <v>0</v>
      </c>
      <c r="L8" t="s">
        <v>47</v>
      </c>
      <c r="V8" t="s">
        <v>48</v>
      </c>
      <c r="W8" s="1" t="s">
        <v>49</v>
      </c>
      <c r="AY8" s="1" t="b">
        <f>B7=1</f>
        <v>1</v>
      </c>
      <c r="AZ8" s="1">
        <f>AY8</f>
        <v>1</v>
      </c>
      <c r="BA8" s="1">
        <f>AZ8</f>
        <v>1</v>
      </c>
      <c r="BB8" s="1">
        <f>BA8</f>
        <v>1</v>
      </c>
      <c r="BC8" s="1">
        <f>BB8</f>
        <v>1</v>
      </c>
      <c r="BD8" s="1">
        <f>BC8</f>
        <v>1</v>
      </c>
      <c r="BE8" s="1">
        <f>BD8</f>
        <v>1</v>
      </c>
      <c r="BF8" s="1" t="b">
        <f>B7=2</f>
        <v>0</v>
      </c>
      <c r="BG8" s="1">
        <f>BF8</f>
        <v>0</v>
      </c>
      <c r="BH8" s="1">
        <f>BG8</f>
        <v>0</v>
      </c>
      <c r="BI8" s="1" t="b">
        <f>B7=3</f>
        <v>0</v>
      </c>
      <c r="BJ8" s="1">
        <f>BI8</f>
        <v>0</v>
      </c>
      <c r="BK8" s="1">
        <f>BJ8</f>
        <v>0</v>
      </c>
      <c r="BL8" s="1" t="b">
        <f>B7=4</f>
        <v>0</v>
      </c>
      <c r="BM8" s="1">
        <f>BL8</f>
        <v>0</v>
      </c>
      <c r="BN8" s="1">
        <f>BM8</f>
        <v>0</v>
      </c>
      <c r="BO8" s="1" t="b">
        <f>B7=5</f>
        <v>0</v>
      </c>
      <c r="BP8" s="1" t="b">
        <f>B7=6</f>
        <v>0</v>
      </c>
      <c r="BQ8" s="1">
        <f>BP8</f>
        <v>0</v>
      </c>
      <c r="BR8" s="1" t="b">
        <f>B7=7</f>
        <v>0</v>
      </c>
      <c r="BS8" s="1">
        <f>BR8</f>
        <v>0</v>
      </c>
      <c r="BT8" s="1">
        <f>BS8</f>
        <v>0</v>
      </c>
      <c r="BU8" s="1" t="b">
        <f>B7=8</f>
        <v>0</v>
      </c>
      <c r="BV8" s="1" t="b">
        <f>B7=9</f>
        <v>0</v>
      </c>
      <c r="BW8" s="1">
        <f>BV8</f>
        <v>0</v>
      </c>
      <c r="BX8" s="1">
        <f>BW8</f>
        <v>0</v>
      </c>
    </row>
    <row r="9" spans="1:102" ht="12">
      <c r="A9" s="23" t="s">
        <v>50</v>
      </c>
      <c r="B9" s="24">
        <f>J4</f>
        <v>504000</v>
      </c>
      <c r="C9" s="25">
        <f>B9*H4</f>
        <v>975880080</v>
      </c>
      <c r="D9" s="21" t="s">
        <v>35</v>
      </c>
      <c r="E9" s="22">
        <f>BL44</f>
        <v>2</v>
      </c>
      <c r="F9" s="9" t="s">
        <v>51</v>
      </c>
      <c r="J9" s="9"/>
      <c r="K9" t="b">
        <f>J5&gt;=0.25</f>
        <v>1</v>
      </c>
      <c r="L9" t="s">
        <v>52</v>
      </c>
      <c r="M9" t="b">
        <f>J5&lt;0.5</f>
        <v>0</v>
      </c>
      <c r="N9" t="s">
        <v>53</v>
      </c>
      <c r="O9" s="18">
        <f>K9*M9</f>
        <v>0</v>
      </c>
      <c r="P9" s="1">
        <f>W10</f>
        <v>33.4203</v>
      </c>
      <c r="Q9" s="1">
        <f>O9*P9</f>
        <v>0</v>
      </c>
      <c r="S9" s="18">
        <f>O9*0.25</f>
        <v>0</v>
      </c>
      <c r="T9" s="18">
        <f>O9*0.5</f>
        <v>0</v>
      </c>
      <c r="V9" t="s">
        <v>54</v>
      </c>
      <c r="W9" s="1" t="s">
        <v>55</v>
      </c>
      <c r="X9" s="6" t="s">
        <v>56</v>
      </c>
      <c r="Y9" s="6" t="s">
        <v>57</v>
      </c>
      <c r="Z9" s="6" t="s">
        <v>58</v>
      </c>
      <c r="AA9" s="6" t="s">
        <v>59</v>
      </c>
      <c r="AB9" s="6" t="s">
        <v>60</v>
      </c>
      <c r="AC9" s="6" t="s">
        <v>61</v>
      </c>
      <c r="AD9" s="6" t="s">
        <v>62</v>
      </c>
      <c r="AE9" s="6" t="s">
        <v>63</v>
      </c>
      <c r="AF9" s="6" t="s">
        <v>64</v>
      </c>
      <c r="AG9" s="6" t="s">
        <v>65</v>
      </c>
      <c r="AH9" s="6" t="s">
        <v>66</v>
      </c>
      <c r="AI9" s="6" t="s">
        <v>67</v>
      </c>
      <c r="AJ9" s="6" t="s">
        <v>68</v>
      </c>
      <c r="AK9" s="6" t="s">
        <v>69</v>
      </c>
      <c r="AL9" s="6" t="s">
        <v>70</v>
      </c>
      <c r="AM9" s="6" t="s">
        <v>71</v>
      </c>
      <c r="AN9" s="26">
        <v>5</v>
      </c>
      <c r="AO9" s="6" t="s">
        <v>72</v>
      </c>
      <c r="AP9" s="6" t="s">
        <v>73</v>
      </c>
      <c r="AQ9" s="6" t="s">
        <v>74</v>
      </c>
      <c r="AR9" s="6" t="s">
        <v>75</v>
      </c>
      <c r="AS9" s="6" t="s">
        <v>76</v>
      </c>
      <c r="AT9" s="26">
        <v>8</v>
      </c>
      <c r="AU9" s="6" t="s">
        <v>77</v>
      </c>
      <c r="AV9" s="6" t="s">
        <v>78</v>
      </c>
      <c r="AW9" s="6" t="s">
        <v>79</v>
      </c>
      <c r="AX9" s="27"/>
      <c r="AY9" s="6" t="s">
        <v>56</v>
      </c>
      <c r="AZ9" s="6" t="s">
        <v>57</v>
      </c>
      <c r="BA9" s="6" t="s">
        <v>58</v>
      </c>
      <c r="BB9" s="6" t="s">
        <v>59</v>
      </c>
      <c r="BC9" s="6" t="s">
        <v>60</v>
      </c>
      <c r="BD9" s="6" t="s">
        <v>61</v>
      </c>
      <c r="BE9" s="6" t="s">
        <v>62</v>
      </c>
      <c r="BF9" s="6" t="s">
        <v>63</v>
      </c>
      <c r="BG9" s="6" t="s">
        <v>64</v>
      </c>
      <c r="BH9" s="6" t="s">
        <v>65</v>
      </c>
      <c r="BI9" s="6" t="s">
        <v>66</v>
      </c>
      <c r="BJ9" s="6" t="s">
        <v>67</v>
      </c>
      <c r="BK9" s="6" t="s">
        <v>68</v>
      </c>
      <c r="BL9" s="6" t="s">
        <v>69</v>
      </c>
      <c r="BM9" s="6" t="s">
        <v>70</v>
      </c>
      <c r="BN9" s="6" t="s">
        <v>71</v>
      </c>
      <c r="BO9" s="6">
        <v>5</v>
      </c>
      <c r="BP9" s="6" t="s">
        <v>72</v>
      </c>
      <c r="BQ9" s="6" t="s">
        <v>73</v>
      </c>
      <c r="BR9" s="6" t="s">
        <v>74</v>
      </c>
      <c r="BS9" s="6" t="s">
        <v>75</v>
      </c>
      <c r="BT9" s="6" t="s">
        <v>76</v>
      </c>
      <c r="BU9" s="26">
        <v>8</v>
      </c>
      <c r="BV9" s="6" t="s">
        <v>77</v>
      </c>
      <c r="BW9" s="6" t="s">
        <v>78</v>
      </c>
      <c r="BX9" s="6" t="s">
        <v>79</v>
      </c>
      <c r="BY9" s="6" t="s">
        <v>56</v>
      </c>
      <c r="BZ9" s="6" t="s">
        <v>57</v>
      </c>
      <c r="CA9" s="6" t="s">
        <v>58</v>
      </c>
      <c r="CB9" s="6" t="s">
        <v>59</v>
      </c>
      <c r="CC9" s="6" t="s">
        <v>60</v>
      </c>
      <c r="CD9" s="6" t="s">
        <v>61</v>
      </c>
      <c r="CE9" s="6" t="s">
        <v>62</v>
      </c>
      <c r="CF9" s="6" t="s">
        <v>63</v>
      </c>
      <c r="CG9" s="6" t="s">
        <v>64</v>
      </c>
      <c r="CH9" s="6" t="s">
        <v>65</v>
      </c>
      <c r="CI9" s="6" t="s">
        <v>66</v>
      </c>
      <c r="CJ9" s="6" t="s">
        <v>67</v>
      </c>
      <c r="CK9" s="6" t="s">
        <v>68</v>
      </c>
      <c r="CL9" s="6" t="s">
        <v>69</v>
      </c>
      <c r="CM9" s="6" t="s">
        <v>70</v>
      </c>
      <c r="CN9" s="6" t="s">
        <v>71</v>
      </c>
      <c r="CO9" s="26">
        <v>5</v>
      </c>
      <c r="CP9" s="6" t="s">
        <v>72</v>
      </c>
      <c r="CQ9" s="6" t="s">
        <v>73</v>
      </c>
      <c r="CR9" s="6" t="s">
        <v>74</v>
      </c>
      <c r="CS9" s="6" t="s">
        <v>75</v>
      </c>
      <c r="CT9" s="6" t="s">
        <v>76</v>
      </c>
      <c r="CU9" s="26">
        <v>8</v>
      </c>
      <c r="CV9" s="6" t="s">
        <v>77</v>
      </c>
      <c r="CW9" s="6" t="s">
        <v>78</v>
      </c>
      <c r="CX9" s="6" t="s">
        <v>79</v>
      </c>
    </row>
    <row r="10" spans="1:102" ht="12.75">
      <c r="A10" t="s">
        <v>80</v>
      </c>
      <c r="B10" s="28">
        <f>C10/$H$4</f>
        <v>464811.20918053784</v>
      </c>
      <c r="C10" s="15">
        <f>S38*1000000</f>
        <v>900000000</v>
      </c>
      <c r="D10" s="21" t="s">
        <v>36</v>
      </c>
      <c r="E10" s="22">
        <f>BL45</f>
        <v>28</v>
      </c>
      <c r="F10" s="9" t="s">
        <v>81</v>
      </c>
      <c r="J10" s="9"/>
      <c r="K10" t="b">
        <f>J5&gt;=0.5</f>
        <v>1</v>
      </c>
      <c r="L10" t="s">
        <v>82</v>
      </c>
      <c r="M10" t="b">
        <f>J5&lt;1</f>
        <v>0</v>
      </c>
      <c r="N10" t="s">
        <v>83</v>
      </c>
      <c r="O10" s="18">
        <f>K10*M10</f>
        <v>0</v>
      </c>
      <c r="P10" s="1">
        <f>W11</f>
        <v>32.19388</v>
      </c>
      <c r="Q10" s="1">
        <f>O10*P10</f>
        <v>0</v>
      </c>
      <c r="R10" s="1">
        <f>O9*P10</f>
        <v>0</v>
      </c>
      <c r="S10" s="18">
        <f>O10*0.5</f>
        <v>0</v>
      </c>
      <c r="T10" s="18">
        <f>O10*1</f>
        <v>0</v>
      </c>
      <c r="V10">
        <v>250</v>
      </c>
      <c r="W10" s="1">
        <f>SUM(BY10:CX10)</f>
        <v>33.4203</v>
      </c>
      <c r="X10" s="1">
        <v>21.4626</v>
      </c>
      <c r="Y10" s="1">
        <v>26.36832</v>
      </c>
      <c r="Z10" s="1">
        <v>30.96745</v>
      </c>
      <c r="AA10" s="1">
        <v>35.56657</v>
      </c>
      <c r="AB10" s="1">
        <v>67.45385</v>
      </c>
      <c r="AC10" s="1">
        <v>24.52867</v>
      </c>
      <c r="AD10" s="1">
        <v>33.4203</v>
      </c>
      <c r="AE10" s="1">
        <v>38.32605</v>
      </c>
      <c r="AF10" s="1">
        <v>53.65647</v>
      </c>
      <c r="AG10" s="1">
        <v>68.98689</v>
      </c>
      <c r="AH10" s="1">
        <v>53.65647</v>
      </c>
      <c r="AI10" s="1">
        <v>57.48908</v>
      </c>
      <c r="AJ10" s="1">
        <v>76.6521</v>
      </c>
      <c r="AK10" s="1">
        <v>45.99126</v>
      </c>
      <c r="AL10" s="1">
        <v>38.32605</v>
      </c>
      <c r="AM10" s="1">
        <v>30.66084</v>
      </c>
      <c r="AN10" s="1">
        <v>61.32168</v>
      </c>
      <c r="AO10" s="1">
        <v>18.70311</v>
      </c>
      <c r="AP10" s="1">
        <v>23.60885</v>
      </c>
      <c r="AQ10" s="1">
        <v>21.46259</v>
      </c>
      <c r="AR10" s="1">
        <v>24.52867</v>
      </c>
      <c r="AS10" s="1">
        <v>26.36832</v>
      </c>
      <c r="AT10" s="1">
        <v>26.36832</v>
      </c>
      <c r="AU10" s="1">
        <v>24.52867</v>
      </c>
      <c r="AV10" s="1">
        <v>30.96745</v>
      </c>
      <c r="AW10" s="1">
        <v>35.75054</v>
      </c>
      <c r="AX10" s="2">
        <v>250</v>
      </c>
      <c r="AY10" s="1">
        <f>AY8*BW40</f>
        <v>0</v>
      </c>
      <c r="AZ10" s="1">
        <f>AZ8*BX40</f>
        <v>0</v>
      </c>
      <c r="BA10" s="1">
        <f>BA8*BY40</f>
        <v>0</v>
      </c>
      <c r="BB10" s="1">
        <f>BB8*BZ40</f>
        <v>0</v>
      </c>
      <c r="BC10" s="1">
        <f>BC8*CA40</f>
        <v>0</v>
      </c>
      <c r="BD10" s="1">
        <f>BD8*CB40</f>
        <v>0</v>
      </c>
      <c r="BE10" s="1">
        <f>BE8*CC40</f>
        <v>1</v>
      </c>
      <c r="BF10" s="1">
        <f>BF8*CD40</f>
        <v>0</v>
      </c>
      <c r="BG10" s="1">
        <f>BG8*CE40</f>
        <v>0</v>
      </c>
      <c r="BH10" s="1">
        <f>BH8*CF40</f>
        <v>0</v>
      </c>
      <c r="BI10" s="1">
        <f>BI8*CG40</f>
        <v>0</v>
      </c>
      <c r="BJ10" s="1">
        <f>BJ8*CH40</f>
        <v>0</v>
      </c>
      <c r="BK10" s="1">
        <f>BK8*CI40</f>
        <v>0</v>
      </c>
      <c r="BL10" s="1">
        <f>BL8*CJ40</f>
        <v>0</v>
      </c>
      <c r="BM10" s="1">
        <f>BM8*CK40</f>
        <v>0</v>
      </c>
      <c r="BN10" s="1">
        <f>BN8*CL40</f>
        <v>0</v>
      </c>
      <c r="BO10" s="1">
        <f>BO8*CM40</f>
        <v>0</v>
      </c>
      <c r="BP10" s="1">
        <f>BP8*CN40</f>
        <v>0</v>
      </c>
      <c r="BQ10" s="1">
        <f>BQ8*CO40</f>
        <v>0</v>
      </c>
      <c r="BR10" s="1">
        <f>BR8*CP40</f>
        <v>0</v>
      </c>
      <c r="BS10" s="1">
        <f>BS8*CQ40</f>
        <v>0</v>
      </c>
      <c r="BT10" s="1">
        <f>BT8*CR40</f>
        <v>0</v>
      </c>
      <c r="BU10" s="1">
        <f>BU8*CS40</f>
        <v>0</v>
      </c>
      <c r="BV10" s="1">
        <f>BV8*CT40</f>
        <v>0</v>
      </c>
      <c r="BW10" s="1">
        <f>BW8*CU40</f>
        <v>0</v>
      </c>
      <c r="BX10" s="1">
        <f>BX8*CV40</f>
        <v>0</v>
      </c>
      <c r="BY10" s="1">
        <f>AY10*X10</f>
        <v>0</v>
      </c>
      <c r="BZ10" s="1">
        <f>AZ10*Y10</f>
        <v>0</v>
      </c>
      <c r="CA10" s="1">
        <f>BA10*Z10</f>
        <v>0</v>
      </c>
      <c r="CB10" s="1">
        <f>BB10*AA10</f>
        <v>0</v>
      </c>
      <c r="CC10" s="1">
        <f>BC10*AB10</f>
        <v>0</v>
      </c>
      <c r="CD10" s="1">
        <f>BD10*AC10</f>
        <v>0</v>
      </c>
      <c r="CE10" s="1">
        <f>BE10*AD10</f>
        <v>33.4203</v>
      </c>
      <c r="CF10" s="1">
        <f>BF10*AE10</f>
        <v>0</v>
      </c>
      <c r="CG10" s="1">
        <f>BG10*AF10</f>
        <v>0</v>
      </c>
      <c r="CH10" s="1">
        <f>BH10*AG10</f>
        <v>0</v>
      </c>
      <c r="CI10" s="1">
        <f>BI10*AH10</f>
        <v>0</v>
      </c>
      <c r="CJ10" s="1">
        <f>BJ10*AI10</f>
        <v>0</v>
      </c>
      <c r="CK10" s="1">
        <f>BK10*AJ10</f>
        <v>0</v>
      </c>
      <c r="CL10" s="1">
        <f>BL10*AK10</f>
        <v>0</v>
      </c>
      <c r="CM10" s="1">
        <f>BM10*AL10</f>
        <v>0</v>
      </c>
      <c r="CN10" s="1">
        <f>BN10*AM10</f>
        <v>0</v>
      </c>
      <c r="CO10" s="1">
        <f>BO10*AN10</f>
        <v>0</v>
      </c>
      <c r="CP10" s="1">
        <f>BP10*AO10</f>
        <v>0</v>
      </c>
      <c r="CQ10" s="1">
        <f>BQ10*AP10</f>
        <v>0</v>
      </c>
      <c r="CR10" s="1">
        <f>BR10*AQ10</f>
        <v>0</v>
      </c>
      <c r="CS10" s="1">
        <f>BS10*AR10</f>
        <v>0</v>
      </c>
      <c r="CT10" s="1">
        <f>BT10*AS10</f>
        <v>0</v>
      </c>
      <c r="CU10" s="1">
        <f>BU10*AT10</f>
        <v>0</v>
      </c>
      <c r="CV10" s="1">
        <f>BV10*AU10</f>
        <v>0</v>
      </c>
      <c r="CW10" s="1">
        <f>BW10*AV10</f>
        <v>0</v>
      </c>
      <c r="CX10" s="1">
        <f>BX10*AW10</f>
        <v>0</v>
      </c>
    </row>
    <row r="11" spans="1:102" ht="12.75">
      <c r="A11" t="s">
        <v>84</v>
      </c>
      <c r="B11" s="1">
        <f>C11</f>
        <v>5.61969</v>
      </c>
      <c r="C11" s="1">
        <f>L38</f>
        <v>5.61969</v>
      </c>
      <c r="D11" s="21" t="s">
        <v>37</v>
      </c>
      <c r="E11" s="22">
        <f>BL46</f>
        <v>8</v>
      </c>
      <c r="F11" s="9" t="s">
        <v>85</v>
      </c>
      <c r="J11" s="9"/>
      <c r="K11" t="b">
        <f>J5&gt;=1</f>
        <v>1</v>
      </c>
      <c r="L11" t="s">
        <v>86</v>
      </c>
      <c r="M11" t="b">
        <f>J5&lt;2.5</f>
        <v>0</v>
      </c>
      <c r="N11" t="s">
        <v>87</v>
      </c>
      <c r="O11" s="18">
        <f>K11*M11</f>
        <v>0</v>
      </c>
      <c r="P11" s="1">
        <f>W12</f>
        <v>29.74101</v>
      </c>
      <c r="Q11" s="1">
        <f>O11*P11</f>
        <v>0</v>
      </c>
      <c r="R11" s="1">
        <f>O10*P11</f>
        <v>0</v>
      </c>
      <c r="S11" s="18">
        <f>O11*1</f>
        <v>0</v>
      </c>
      <c r="T11" s="18">
        <f>O11*2.5</f>
        <v>0</v>
      </c>
      <c r="V11">
        <v>500</v>
      </c>
      <c r="W11" s="1">
        <f>SUM(BY11:CX11)</f>
        <v>32.19388</v>
      </c>
      <c r="X11" s="1">
        <v>19.92955</v>
      </c>
      <c r="Y11" s="1">
        <v>24.98858</v>
      </c>
      <c r="Z11" s="1">
        <v>29.58771</v>
      </c>
      <c r="AA11" s="1">
        <v>33.88023</v>
      </c>
      <c r="AB11" s="1">
        <v>58.2556</v>
      </c>
      <c r="AC11" s="1">
        <v>22.99563</v>
      </c>
      <c r="AD11" s="1">
        <v>32.19388</v>
      </c>
      <c r="AE11" s="1">
        <v>30.66084</v>
      </c>
      <c r="AF11" s="1">
        <v>42.49518</v>
      </c>
      <c r="AG11" s="1">
        <v>55.18951</v>
      </c>
      <c r="AH11" s="1">
        <v>42.92518</v>
      </c>
      <c r="AI11" s="1">
        <v>45.99126</v>
      </c>
      <c r="AJ11" s="1">
        <v>61.32168</v>
      </c>
      <c r="AK11" s="1">
        <v>36.79301</v>
      </c>
      <c r="AL11" s="1">
        <v>30.66084</v>
      </c>
      <c r="AM11" s="1">
        <v>24.52867</v>
      </c>
      <c r="AN11" s="1">
        <v>45.99126</v>
      </c>
      <c r="AO11" s="1">
        <v>17.62998</v>
      </c>
      <c r="AP11" s="1">
        <v>22.68902</v>
      </c>
      <c r="AQ11" s="1">
        <v>19.92955</v>
      </c>
      <c r="AR11" s="1">
        <v>23.45554</v>
      </c>
      <c r="AS11" s="1">
        <v>24.98858</v>
      </c>
      <c r="AT11" s="1">
        <v>24.98858</v>
      </c>
      <c r="AU11" s="1">
        <v>23.45554</v>
      </c>
      <c r="AV11" s="1">
        <v>29.43441</v>
      </c>
      <c r="AW11" s="1">
        <v>33.88023</v>
      </c>
      <c r="AX11" s="2">
        <v>500</v>
      </c>
      <c r="AY11" s="1">
        <f>AY10</f>
        <v>0</v>
      </c>
      <c r="AZ11" s="1">
        <f>AZ10</f>
        <v>0</v>
      </c>
      <c r="BA11" s="1">
        <f>BA10</f>
        <v>0</v>
      </c>
      <c r="BB11" s="1">
        <f>BB10</f>
        <v>0</v>
      </c>
      <c r="BC11" s="1">
        <f>BC10</f>
        <v>0</v>
      </c>
      <c r="BD11" s="1">
        <f>BD10</f>
        <v>0</v>
      </c>
      <c r="BE11" s="1">
        <f>BE10</f>
        <v>1</v>
      </c>
      <c r="BF11" s="1">
        <f>BF10</f>
        <v>0</v>
      </c>
      <c r="BG11" s="1">
        <f>BG10</f>
        <v>0</v>
      </c>
      <c r="BH11" s="1">
        <f>BH10</f>
        <v>0</v>
      </c>
      <c r="BI11" s="1">
        <f>BI10</f>
        <v>0</v>
      </c>
      <c r="BJ11" s="1">
        <f>BJ10</f>
        <v>0</v>
      </c>
      <c r="BK11" s="1">
        <f>BK10</f>
        <v>0</v>
      </c>
      <c r="BL11" s="1">
        <f>BL10</f>
        <v>0</v>
      </c>
      <c r="BM11" s="1">
        <f>BM10</f>
        <v>0</v>
      </c>
      <c r="BN11" s="1">
        <f>BN10</f>
        <v>0</v>
      </c>
      <c r="BO11" s="1">
        <f>BO10</f>
        <v>0</v>
      </c>
      <c r="BP11" s="1">
        <f>BP10</f>
        <v>0</v>
      </c>
      <c r="BQ11" s="1">
        <f>BQ10</f>
        <v>0</v>
      </c>
      <c r="BR11" s="1">
        <f>BR10</f>
        <v>0</v>
      </c>
      <c r="BS11" s="1">
        <f>BS10</f>
        <v>0</v>
      </c>
      <c r="BT11" s="1">
        <f>BT10</f>
        <v>0</v>
      </c>
      <c r="BU11" s="1">
        <f>BU10</f>
        <v>0</v>
      </c>
      <c r="BV11" s="1">
        <f>BV10</f>
        <v>0</v>
      </c>
      <c r="BW11" s="1">
        <f>BW10</f>
        <v>0</v>
      </c>
      <c r="BX11" s="1">
        <f>BX10</f>
        <v>0</v>
      </c>
      <c r="BY11" s="1">
        <f>AY11*X11</f>
        <v>0</v>
      </c>
      <c r="BZ11" s="1">
        <f>AZ11*Y11</f>
        <v>0</v>
      </c>
      <c r="CA11" s="1">
        <f>BA11*Z11</f>
        <v>0</v>
      </c>
      <c r="CB11" s="1">
        <f>BB11*AA11</f>
        <v>0</v>
      </c>
      <c r="CC11" s="1">
        <f>BC11*AB11</f>
        <v>0</v>
      </c>
      <c r="CD11" s="1">
        <f>BD11*AC11</f>
        <v>0</v>
      </c>
      <c r="CE11" s="1">
        <f>BE11*AD11</f>
        <v>32.19388</v>
      </c>
      <c r="CF11" s="1">
        <f>BF11*AE11</f>
        <v>0</v>
      </c>
      <c r="CG11" s="1">
        <f>BG11*AF11</f>
        <v>0</v>
      </c>
      <c r="CH11" s="1">
        <f>BH11*AG11</f>
        <v>0</v>
      </c>
      <c r="CI11" s="1">
        <f>BI11*AH11</f>
        <v>0</v>
      </c>
      <c r="CJ11" s="1">
        <f>BJ11*AI11</f>
        <v>0</v>
      </c>
      <c r="CK11" s="1">
        <f>BK11*AJ11</f>
        <v>0</v>
      </c>
      <c r="CL11" s="1">
        <f>BL11*AK11</f>
        <v>0</v>
      </c>
      <c r="CM11" s="1">
        <f>BM11*AL11</f>
        <v>0</v>
      </c>
      <c r="CN11" s="1">
        <f>BN11*AM11</f>
        <v>0</v>
      </c>
      <c r="CO11" s="1">
        <f>BO11*AN11</f>
        <v>0</v>
      </c>
      <c r="CP11" s="1">
        <f>BP11*AO11</f>
        <v>0</v>
      </c>
      <c r="CQ11" s="1">
        <f>BQ11*AP11</f>
        <v>0</v>
      </c>
      <c r="CR11" s="1">
        <f>BR11*AQ11</f>
        <v>0</v>
      </c>
      <c r="CS11" s="1">
        <f>BS11*AR11</f>
        <v>0</v>
      </c>
      <c r="CT11" s="1">
        <f>BT11*AS11</f>
        <v>0</v>
      </c>
      <c r="CU11" s="1">
        <f>BU11*AT11</f>
        <v>0</v>
      </c>
      <c r="CV11" s="1">
        <f>BV11*AU11</f>
        <v>0</v>
      </c>
      <c r="CW11" s="1">
        <f>BW11*AV11</f>
        <v>0</v>
      </c>
      <c r="CX11" s="1">
        <f>BX11*AW11</f>
        <v>0</v>
      </c>
    </row>
    <row r="12" spans="1:102" ht="12.75">
      <c r="A12" t="s">
        <v>88</v>
      </c>
      <c r="B12" s="28">
        <f>C12/$H$4</f>
        <v>516456.8990894865</v>
      </c>
      <c r="C12" s="15">
        <f>T39*1000000</f>
        <v>1000000000</v>
      </c>
      <c r="D12" s="21" t="s">
        <v>38</v>
      </c>
      <c r="E12" s="22">
        <f>BL47</f>
        <v>4</v>
      </c>
      <c r="F12" s="9" t="s">
        <v>89</v>
      </c>
      <c r="J12" s="9"/>
      <c r="K12" t="b">
        <f>J5&gt;=2.5</f>
        <v>1</v>
      </c>
      <c r="L12" t="s">
        <v>90</v>
      </c>
      <c r="M12" t="b">
        <f>J5&lt;5</f>
        <v>0</v>
      </c>
      <c r="N12" t="s">
        <v>91</v>
      </c>
      <c r="O12" s="18">
        <f>K12*M12</f>
        <v>0</v>
      </c>
      <c r="P12" s="1">
        <f>W13</f>
        <v>25.4485</v>
      </c>
      <c r="Q12" s="1">
        <f>O12*P12</f>
        <v>0</v>
      </c>
      <c r="R12" s="1">
        <f>O11*P12</f>
        <v>0</v>
      </c>
      <c r="S12" s="18">
        <f>O12*2.5</f>
        <v>0</v>
      </c>
      <c r="T12" s="18">
        <f>O12*5</f>
        <v>0</v>
      </c>
      <c r="V12">
        <v>1000</v>
      </c>
      <c r="W12" s="1">
        <f>SUM(BY12:CX12)</f>
        <v>29.74101</v>
      </c>
      <c r="X12" s="1">
        <v>18.3965</v>
      </c>
      <c r="Y12" s="1">
        <v>22.68902</v>
      </c>
      <c r="Z12" s="1">
        <v>27.44145</v>
      </c>
      <c r="AA12" s="1">
        <v>31.73397</v>
      </c>
      <c r="AB12" s="1">
        <v>52.12343</v>
      </c>
      <c r="AC12" s="1">
        <v>22.0758</v>
      </c>
      <c r="AD12" s="1">
        <v>29.74101</v>
      </c>
      <c r="AE12" s="1">
        <v>26.36832</v>
      </c>
      <c r="AF12" s="1">
        <v>36.79301</v>
      </c>
      <c r="AG12" s="1">
        <v>49.05734</v>
      </c>
      <c r="AH12" s="1">
        <v>36.79301</v>
      </c>
      <c r="AI12" s="1">
        <v>39.24588</v>
      </c>
      <c r="AJ12" s="1">
        <v>52.12348</v>
      </c>
      <c r="AK12" s="1">
        <v>30.66084</v>
      </c>
      <c r="AL12" s="1">
        <v>25.75511</v>
      </c>
      <c r="AM12" s="1">
        <v>20.84937</v>
      </c>
      <c r="AN12" s="1">
        <v>38.32605</v>
      </c>
      <c r="AO12" s="1">
        <v>15.79033</v>
      </c>
      <c r="AP12" s="1">
        <v>20.69607</v>
      </c>
      <c r="AQ12" s="1">
        <v>17.78329</v>
      </c>
      <c r="AR12" s="1">
        <v>19.92955</v>
      </c>
      <c r="AS12" s="1">
        <v>22.68902</v>
      </c>
      <c r="AT12" s="1">
        <v>22.68902</v>
      </c>
      <c r="AU12" s="1">
        <v>19.92955</v>
      </c>
      <c r="AV12" s="1">
        <v>27.44145</v>
      </c>
      <c r="AW12" s="1">
        <v>31.73397</v>
      </c>
      <c r="AX12" s="2">
        <v>1000</v>
      </c>
      <c r="AY12" s="1">
        <f>AY11</f>
        <v>0</v>
      </c>
      <c r="AZ12" s="1">
        <f>AZ11</f>
        <v>0</v>
      </c>
      <c r="BA12" s="1">
        <f>BA11</f>
        <v>0</v>
      </c>
      <c r="BB12" s="1">
        <f>BB11</f>
        <v>0</v>
      </c>
      <c r="BC12" s="1">
        <f>BC11</f>
        <v>0</v>
      </c>
      <c r="BD12" s="1">
        <f>BD11</f>
        <v>0</v>
      </c>
      <c r="BE12" s="1">
        <f>BE11</f>
        <v>1</v>
      </c>
      <c r="BF12" s="1">
        <f>BF11</f>
        <v>0</v>
      </c>
      <c r="BG12" s="1">
        <f>BG11</f>
        <v>0</v>
      </c>
      <c r="BH12" s="1">
        <f>BH11</f>
        <v>0</v>
      </c>
      <c r="BI12" s="1">
        <f>BI11</f>
        <v>0</v>
      </c>
      <c r="BJ12" s="1">
        <f>BJ11</f>
        <v>0</v>
      </c>
      <c r="BK12" s="1">
        <f>BK11</f>
        <v>0</v>
      </c>
      <c r="BL12" s="1">
        <f>BL11</f>
        <v>0</v>
      </c>
      <c r="BM12" s="1">
        <f>BM11</f>
        <v>0</v>
      </c>
      <c r="BN12" s="1">
        <f>BN11</f>
        <v>0</v>
      </c>
      <c r="BO12" s="1">
        <f>BO11</f>
        <v>0</v>
      </c>
      <c r="BP12" s="1">
        <f>BP11</f>
        <v>0</v>
      </c>
      <c r="BQ12" s="1">
        <f>BQ11</f>
        <v>0</v>
      </c>
      <c r="BR12" s="1">
        <f>BR11</f>
        <v>0</v>
      </c>
      <c r="BS12" s="1">
        <f>BS11</f>
        <v>0</v>
      </c>
      <c r="BT12" s="1">
        <f>BT11</f>
        <v>0</v>
      </c>
      <c r="BU12" s="1">
        <f>BU11</f>
        <v>0</v>
      </c>
      <c r="BV12" s="1">
        <f>BV11</f>
        <v>0</v>
      </c>
      <c r="BW12" s="1">
        <f>BW11</f>
        <v>0</v>
      </c>
      <c r="BX12" s="1">
        <f>BX11</f>
        <v>0</v>
      </c>
      <c r="BY12" s="1">
        <f>AY12*X12</f>
        <v>0</v>
      </c>
      <c r="BZ12" s="1">
        <f>AZ12*Y12</f>
        <v>0</v>
      </c>
      <c r="CA12" s="1">
        <f>BA12*Z12</f>
        <v>0</v>
      </c>
      <c r="CB12" s="1">
        <f>BB12*AA12</f>
        <v>0</v>
      </c>
      <c r="CC12" s="1">
        <f>BC12*AB12</f>
        <v>0</v>
      </c>
      <c r="CD12" s="1">
        <f>BD12*AC12</f>
        <v>0</v>
      </c>
      <c r="CE12" s="1">
        <f>BE12*AD12</f>
        <v>29.74101</v>
      </c>
      <c r="CF12" s="1">
        <f>BF12*AE12</f>
        <v>0</v>
      </c>
      <c r="CG12" s="1">
        <f>BG12*AF12</f>
        <v>0</v>
      </c>
      <c r="CH12" s="1">
        <f>BH12*AG12</f>
        <v>0</v>
      </c>
      <c r="CI12" s="1">
        <f>BI12*AH12</f>
        <v>0</v>
      </c>
      <c r="CJ12" s="1">
        <f>BJ12*AI12</f>
        <v>0</v>
      </c>
      <c r="CK12" s="1">
        <f>BK12*AJ12</f>
        <v>0</v>
      </c>
      <c r="CL12" s="1">
        <f>BL12*AK12</f>
        <v>0</v>
      </c>
      <c r="CM12" s="1">
        <f>BM12*AL12</f>
        <v>0</v>
      </c>
      <c r="CN12" s="1">
        <f>BN12*AM12</f>
        <v>0</v>
      </c>
      <c r="CO12" s="1">
        <f>BO12*AN12</f>
        <v>0</v>
      </c>
      <c r="CP12" s="1">
        <f>BP12*AO12</f>
        <v>0</v>
      </c>
      <c r="CQ12" s="1">
        <f>BQ12*AP12</f>
        <v>0</v>
      </c>
      <c r="CR12" s="1">
        <f>BR12*AQ12</f>
        <v>0</v>
      </c>
      <c r="CS12" s="1">
        <f>BS12*AR12</f>
        <v>0</v>
      </c>
      <c r="CT12" s="1">
        <f>BT12*AS12</f>
        <v>0</v>
      </c>
      <c r="CU12" s="1">
        <f>BU12*AT12</f>
        <v>0</v>
      </c>
      <c r="CV12" s="1">
        <f>BV12*AU12</f>
        <v>0</v>
      </c>
      <c r="CW12" s="1">
        <f>BW12*AV12</f>
        <v>0</v>
      </c>
      <c r="CX12" s="1">
        <f>BX12*AW12</f>
        <v>0</v>
      </c>
    </row>
    <row r="13" spans="1:102" ht="12.75">
      <c r="A13" t="s">
        <v>92</v>
      </c>
      <c r="B13" s="1">
        <f>C13</f>
        <v>5.55399</v>
      </c>
      <c r="C13" s="1">
        <f>L39</f>
        <v>5.55399</v>
      </c>
      <c r="D13" s="21" t="s">
        <v>39</v>
      </c>
      <c r="E13" s="22">
        <f>BL48</f>
        <v>5</v>
      </c>
      <c r="F13" s="9" t="s">
        <v>93</v>
      </c>
      <c r="J13" s="9" t="s">
        <v>94</v>
      </c>
      <c r="K13" t="b">
        <f>J5&gt;=5</f>
        <v>1</v>
      </c>
      <c r="L13" t="s">
        <v>95</v>
      </c>
      <c r="M13" t="b">
        <f>J5&lt;10</f>
        <v>0</v>
      </c>
      <c r="N13" t="s">
        <v>96</v>
      </c>
      <c r="O13" s="18">
        <f>K13*M13</f>
        <v>0</v>
      </c>
      <c r="P13" s="1">
        <f>W14</f>
        <v>21.46259</v>
      </c>
      <c r="Q13" s="1">
        <f>O13*P13</f>
        <v>0</v>
      </c>
      <c r="R13" s="1">
        <f>O12*P13</f>
        <v>0</v>
      </c>
      <c r="S13" s="18">
        <f>O13*5</f>
        <v>0</v>
      </c>
      <c r="T13" s="18">
        <f>O13*10</f>
        <v>0</v>
      </c>
      <c r="V13">
        <v>2500</v>
      </c>
      <c r="W13" s="1">
        <f>SUM(BY13:CX13)</f>
        <v>25.4485</v>
      </c>
      <c r="X13" s="1">
        <v>15.33042</v>
      </c>
      <c r="Y13" s="1">
        <v>18.85642</v>
      </c>
      <c r="Z13" s="1">
        <v>23.60885</v>
      </c>
      <c r="AA13" s="1">
        <v>27.59476</v>
      </c>
      <c r="AB13" s="1">
        <v>44.45822</v>
      </c>
      <c r="AC13" s="1">
        <v>19.92955</v>
      </c>
      <c r="AD13" s="1">
        <v>25.4485</v>
      </c>
      <c r="AE13" s="1">
        <v>19.92955</v>
      </c>
      <c r="AF13" s="1">
        <v>27.90136</v>
      </c>
      <c r="AG13" s="1">
        <v>36.79301</v>
      </c>
      <c r="AH13" s="1">
        <v>27.90136</v>
      </c>
      <c r="AI13" s="1">
        <v>29.89432</v>
      </c>
      <c r="AJ13" s="1">
        <v>40.77892</v>
      </c>
      <c r="AK13" s="1">
        <v>23.91546</v>
      </c>
      <c r="AL13" s="1">
        <v>19.92955</v>
      </c>
      <c r="AM13" s="1">
        <v>15.94364</v>
      </c>
      <c r="AN13" s="1">
        <v>30.04762</v>
      </c>
      <c r="AO13" s="1">
        <v>12.41764</v>
      </c>
      <c r="AP13" s="1">
        <v>17.32337</v>
      </c>
      <c r="AQ13" s="1">
        <v>14.25729</v>
      </c>
      <c r="AR13" s="1">
        <v>15.63703</v>
      </c>
      <c r="AS13" s="1">
        <v>18.85642</v>
      </c>
      <c r="AT13" s="1">
        <v>18.85642</v>
      </c>
      <c r="AU13" s="1">
        <v>15.63703</v>
      </c>
      <c r="AV13" s="1">
        <v>22.99563</v>
      </c>
      <c r="AW13" s="1">
        <v>27.13484</v>
      </c>
      <c r="AX13" s="2">
        <v>2500</v>
      </c>
      <c r="AY13" s="1">
        <f>AY12</f>
        <v>0</v>
      </c>
      <c r="AZ13" s="1">
        <f>AZ12</f>
        <v>0</v>
      </c>
      <c r="BA13" s="1">
        <f>BA12</f>
        <v>0</v>
      </c>
      <c r="BB13" s="1">
        <f>BB12</f>
        <v>0</v>
      </c>
      <c r="BC13" s="1">
        <f>BC12</f>
        <v>0</v>
      </c>
      <c r="BD13" s="1">
        <f>BD12</f>
        <v>0</v>
      </c>
      <c r="BE13" s="1">
        <f>BE12</f>
        <v>1</v>
      </c>
      <c r="BF13" s="1">
        <f>BF12</f>
        <v>0</v>
      </c>
      <c r="BG13" s="1">
        <f>BG12</f>
        <v>0</v>
      </c>
      <c r="BH13" s="1">
        <f>BH12</f>
        <v>0</v>
      </c>
      <c r="BI13" s="1">
        <f>BI12</f>
        <v>0</v>
      </c>
      <c r="BJ13" s="1">
        <f>BJ12</f>
        <v>0</v>
      </c>
      <c r="BK13" s="1">
        <f>BK12</f>
        <v>0</v>
      </c>
      <c r="BL13" s="1">
        <f>BL12</f>
        <v>0</v>
      </c>
      <c r="BM13" s="1">
        <f>BM12</f>
        <v>0</v>
      </c>
      <c r="BN13" s="1">
        <f>BN12</f>
        <v>0</v>
      </c>
      <c r="BO13" s="1">
        <f>BO12</f>
        <v>0</v>
      </c>
      <c r="BP13" s="1">
        <f>BP12</f>
        <v>0</v>
      </c>
      <c r="BQ13" s="1">
        <f>BQ12</f>
        <v>0</v>
      </c>
      <c r="BR13" s="1">
        <f>BR12</f>
        <v>0</v>
      </c>
      <c r="BS13" s="1">
        <f>BS12</f>
        <v>0</v>
      </c>
      <c r="BT13" s="1">
        <f>BT12</f>
        <v>0</v>
      </c>
      <c r="BU13" s="1">
        <f>BU12</f>
        <v>0</v>
      </c>
      <c r="BV13" s="1">
        <f>BV12</f>
        <v>0</v>
      </c>
      <c r="BW13" s="1">
        <f>BW12</f>
        <v>0</v>
      </c>
      <c r="BX13" s="1">
        <f>BX12</f>
        <v>0</v>
      </c>
      <c r="BY13" s="1">
        <f>AY13*X13</f>
        <v>0</v>
      </c>
      <c r="BZ13" s="1">
        <f>AZ13*Y13</f>
        <v>0</v>
      </c>
      <c r="CA13" s="1">
        <f>BA13*Z13</f>
        <v>0</v>
      </c>
      <c r="CB13" s="1">
        <f>BB13*AA13</f>
        <v>0</v>
      </c>
      <c r="CC13" s="1">
        <f>BC13*AB13</f>
        <v>0</v>
      </c>
      <c r="CD13" s="1">
        <f>BD13*AC13</f>
        <v>0</v>
      </c>
      <c r="CE13" s="1">
        <f>BE13*AD13</f>
        <v>25.4485</v>
      </c>
      <c r="CF13" s="1">
        <f>BF13*AE13</f>
        <v>0</v>
      </c>
      <c r="CG13" s="1">
        <f>BG13*AF13</f>
        <v>0</v>
      </c>
      <c r="CH13" s="1">
        <f>BH13*AG13</f>
        <v>0</v>
      </c>
      <c r="CI13" s="1">
        <f>BI13*AH13</f>
        <v>0</v>
      </c>
      <c r="CJ13" s="1">
        <f>BJ13*AI13</f>
        <v>0</v>
      </c>
      <c r="CK13" s="1">
        <f>BK13*AJ13</f>
        <v>0</v>
      </c>
      <c r="CL13" s="1">
        <f>BL13*AK13</f>
        <v>0</v>
      </c>
      <c r="CM13" s="1">
        <f>BM13*AL13</f>
        <v>0</v>
      </c>
      <c r="CN13" s="1">
        <f>BN13*AM13</f>
        <v>0</v>
      </c>
      <c r="CO13" s="1">
        <f>BO13*AN13</f>
        <v>0</v>
      </c>
      <c r="CP13" s="1">
        <f>BP13*AO13</f>
        <v>0</v>
      </c>
      <c r="CQ13" s="1">
        <f>BQ13*AP13</f>
        <v>0</v>
      </c>
      <c r="CR13" s="1">
        <f>BR13*AQ13</f>
        <v>0</v>
      </c>
      <c r="CS13" s="1">
        <f>BS13*AR13</f>
        <v>0</v>
      </c>
      <c r="CT13" s="1">
        <f>BT13*AS13</f>
        <v>0</v>
      </c>
      <c r="CU13" s="1">
        <f>BU13*AT13</f>
        <v>0</v>
      </c>
      <c r="CV13" s="1">
        <f>BV13*AU13</f>
        <v>0</v>
      </c>
      <c r="CW13" s="1">
        <f>BW13*AV13</f>
        <v>0</v>
      </c>
      <c r="CX13" s="1">
        <f>BX13*AW13</f>
        <v>0</v>
      </c>
    </row>
    <row r="14" spans="1:102" ht="12.75">
      <c r="A14" t="s">
        <v>97</v>
      </c>
      <c r="B14" s="1">
        <f>C14</f>
        <v>0</v>
      </c>
      <c r="C14" s="1">
        <f>C13/1.2*K36</f>
        <v>0</v>
      </c>
      <c r="D14" s="21" t="s">
        <v>40</v>
      </c>
      <c r="E14" s="22">
        <f>BL49</f>
        <v>35</v>
      </c>
      <c r="F14" s="9" t="s">
        <v>98</v>
      </c>
      <c r="J14" s="9" t="s">
        <v>99</v>
      </c>
      <c r="K14" t="b">
        <f>J5&gt;=10</f>
        <v>1</v>
      </c>
      <c r="L14" t="s">
        <v>100</v>
      </c>
      <c r="M14" t="b">
        <f>J5&lt;15</f>
        <v>0</v>
      </c>
      <c r="N14" t="s">
        <v>101</v>
      </c>
      <c r="O14" s="18">
        <f>K14*M14</f>
        <v>0</v>
      </c>
      <c r="P14" s="1">
        <f>W15</f>
        <v>18.3965</v>
      </c>
      <c r="Q14" s="1">
        <f>O14*P14</f>
        <v>0</v>
      </c>
      <c r="R14" s="1">
        <f>O13*P14</f>
        <v>0</v>
      </c>
      <c r="S14" s="18">
        <f>O14*10</f>
        <v>0</v>
      </c>
      <c r="T14" s="18">
        <f>O14*15</f>
        <v>0</v>
      </c>
      <c r="V14">
        <v>5000</v>
      </c>
      <c r="W14" s="1">
        <f>SUM(BY14:CX14)</f>
        <v>21.46259</v>
      </c>
      <c r="X14" s="1">
        <v>13.18416</v>
      </c>
      <c r="Y14" s="1">
        <v>15.33042</v>
      </c>
      <c r="Z14" s="1">
        <v>19.92955</v>
      </c>
      <c r="AA14" s="1">
        <v>24.52867</v>
      </c>
      <c r="AB14" s="1">
        <v>39.85909</v>
      </c>
      <c r="AC14" s="1">
        <v>17.78329</v>
      </c>
      <c r="AD14" s="1">
        <v>21.46259</v>
      </c>
      <c r="AE14" s="1">
        <v>15.33042</v>
      </c>
      <c r="AF14" s="1">
        <v>22.0758</v>
      </c>
      <c r="AG14" s="1">
        <v>29.43441</v>
      </c>
      <c r="AH14" s="1">
        <v>21.46259</v>
      </c>
      <c r="AI14" s="1">
        <v>22.99563</v>
      </c>
      <c r="AJ14" s="1">
        <v>31.88727</v>
      </c>
      <c r="AK14" s="1">
        <v>18.3965</v>
      </c>
      <c r="AL14" s="1">
        <v>15.33042</v>
      </c>
      <c r="AM14" s="1">
        <v>12.26434</v>
      </c>
      <c r="AN14" s="1">
        <v>21.15579</v>
      </c>
      <c r="AO14" s="1">
        <v>10.27138</v>
      </c>
      <c r="AP14" s="1">
        <v>14.41059</v>
      </c>
      <c r="AQ14" s="1">
        <v>11.0379</v>
      </c>
      <c r="AR14" s="1">
        <v>13.49077</v>
      </c>
      <c r="AS14" s="1">
        <v>15.17712</v>
      </c>
      <c r="AT14" s="1">
        <v>15.17712</v>
      </c>
      <c r="AU14" s="1">
        <v>12.26434</v>
      </c>
      <c r="AV14" s="1">
        <v>19.00972</v>
      </c>
      <c r="AW14" s="1">
        <v>22.68902</v>
      </c>
      <c r="AX14" s="2">
        <v>5000</v>
      </c>
      <c r="AY14" s="1">
        <f>AY13</f>
        <v>0</v>
      </c>
      <c r="AZ14" s="1">
        <f>AZ13</f>
        <v>0</v>
      </c>
      <c r="BA14" s="1">
        <f>BA13</f>
        <v>0</v>
      </c>
      <c r="BB14" s="1">
        <f>BB13</f>
        <v>0</v>
      </c>
      <c r="BC14" s="1">
        <f>BC13</f>
        <v>0</v>
      </c>
      <c r="BD14" s="1">
        <f>BD13</f>
        <v>0</v>
      </c>
      <c r="BE14" s="1">
        <f>BE13</f>
        <v>1</v>
      </c>
      <c r="BF14" s="1">
        <f>BF13</f>
        <v>0</v>
      </c>
      <c r="BG14" s="1">
        <f>BG13</f>
        <v>0</v>
      </c>
      <c r="BH14" s="1">
        <f>BH13</f>
        <v>0</v>
      </c>
      <c r="BI14" s="1">
        <f>BI13</f>
        <v>0</v>
      </c>
      <c r="BJ14" s="1">
        <f>BJ13</f>
        <v>0</v>
      </c>
      <c r="BK14" s="1">
        <f>BK13</f>
        <v>0</v>
      </c>
      <c r="BL14" s="1">
        <f>BL13</f>
        <v>0</v>
      </c>
      <c r="BM14" s="1">
        <f>BM13</f>
        <v>0</v>
      </c>
      <c r="BN14" s="1">
        <f>BN13</f>
        <v>0</v>
      </c>
      <c r="BO14" s="1">
        <f>BO13</f>
        <v>0</v>
      </c>
      <c r="BP14" s="1">
        <f>BP13</f>
        <v>0</v>
      </c>
      <c r="BQ14" s="1">
        <f>BQ13</f>
        <v>0</v>
      </c>
      <c r="BR14" s="1">
        <f>BR13</f>
        <v>0</v>
      </c>
      <c r="BS14" s="1">
        <f>BS13</f>
        <v>0</v>
      </c>
      <c r="BT14" s="1">
        <f>BT13</f>
        <v>0</v>
      </c>
      <c r="BU14" s="1">
        <f>BU13</f>
        <v>0</v>
      </c>
      <c r="BV14" s="1">
        <f>BV13</f>
        <v>0</v>
      </c>
      <c r="BW14" s="1">
        <f>BW13</f>
        <v>0</v>
      </c>
      <c r="BX14" s="1">
        <f>BX13</f>
        <v>0</v>
      </c>
      <c r="BY14" s="1">
        <f>AY14*X14</f>
        <v>0</v>
      </c>
      <c r="BZ14" s="1">
        <f>AZ14*Y14</f>
        <v>0</v>
      </c>
      <c r="CA14" s="1">
        <f>BA14*Z14</f>
        <v>0</v>
      </c>
      <c r="CB14" s="1">
        <f>BB14*AA14</f>
        <v>0</v>
      </c>
      <c r="CC14" s="1">
        <f>BC14*AB14</f>
        <v>0</v>
      </c>
      <c r="CD14" s="1">
        <f>BD14*AC14</f>
        <v>0</v>
      </c>
      <c r="CE14" s="1">
        <f>BE14*AD14</f>
        <v>21.46259</v>
      </c>
      <c r="CF14" s="1">
        <f>BF14*AE14</f>
        <v>0</v>
      </c>
      <c r="CG14" s="1">
        <f>BG14*AF14</f>
        <v>0</v>
      </c>
      <c r="CH14" s="1">
        <f>BH14*AG14</f>
        <v>0</v>
      </c>
      <c r="CI14" s="1">
        <f>BI14*AH14</f>
        <v>0</v>
      </c>
      <c r="CJ14" s="1">
        <f>BJ14*AI14</f>
        <v>0</v>
      </c>
      <c r="CK14" s="1">
        <f>BK14*AJ14</f>
        <v>0</v>
      </c>
      <c r="CL14" s="1">
        <f>BL14*AK14</f>
        <v>0</v>
      </c>
      <c r="CM14" s="1">
        <f>BM14*AL14</f>
        <v>0</v>
      </c>
      <c r="CN14" s="1">
        <f>BN14*AM14</f>
        <v>0</v>
      </c>
      <c r="CO14" s="1">
        <f>BO14*AN14</f>
        <v>0</v>
      </c>
      <c r="CP14" s="1">
        <f>BP14*AO14</f>
        <v>0</v>
      </c>
      <c r="CQ14" s="1">
        <f>BQ14*AP14</f>
        <v>0</v>
      </c>
      <c r="CR14" s="1">
        <f>BR14*AQ14</f>
        <v>0</v>
      </c>
      <c r="CS14" s="1">
        <f>BS14*AR14</f>
        <v>0</v>
      </c>
      <c r="CT14" s="1">
        <f>BT14*AS14</f>
        <v>0</v>
      </c>
      <c r="CU14" s="1">
        <f>BU14*AT14</f>
        <v>0</v>
      </c>
      <c r="CV14" s="1">
        <f>BV14*AU14</f>
        <v>0</v>
      </c>
      <c r="CW14" s="1">
        <f>BW14*AV14</f>
        <v>0</v>
      </c>
      <c r="CX14" s="1">
        <f>BX14*AW14</f>
        <v>0</v>
      </c>
    </row>
    <row r="15" spans="1:102" ht="12.75">
      <c r="A15" t="s">
        <v>102</v>
      </c>
      <c r="B15" s="19">
        <f>C15/$H$4</f>
        <v>0</v>
      </c>
      <c r="C15" s="15">
        <f>K36*(5000000000-C9)*(C13-C14)/100</f>
        <v>0</v>
      </c>
      <c r="D15" s="21" t="s">
        <v>103</v>
      </c>
      <c r="E15" s="22">
        <f>BL50</f>
        <v>0</v>
      </c>
      <c r="F15" s="9" t="s">
        <v>104</v>
      </c>
      <c r="J15" s="9" t="s">
        <v>105</v>
      </c>
      <c r="K15" t="b">
        <f>J5&gt;=15</f>
        <v>1</v>
      </c>
      <c r="L15" t="s">
        <v>106</v>
      </c>
      <c r="M15" t="b">
        <f>J5&lt;20</f>
        <v>0</v>
      </c>
      <c r="N15" t="s">
        <v>107</v>
      </c>
      <c r="O15" s="18">
        <f>K15*M15</f>
        <v>0</v>
      </c>
      <c r="P15" s="1">
        <f>W16</f>
        <v>16.86346</v>
      </c>
      <c r="Q15" s="1">
        <f>O15*P15</f>
        <v>0</v>
      </c>
      <c r="R15" s="1">
        <f>O14*P15</f>
        <v>0</v>
      </c>
      <c r="S15" s="18">
        <f>O15*15</f>
        <v>0</v>
      </c>
      <c r="T15" s="18">
        <f>O15*20</f>
        <v>0</v>
      </c>
      <c r="V15">
        <v>10000</v>
      </c>
      <c r="W15" s="1">
        <f>SUM(BY15:CX15)</f>
        <v>18.3965</v>
      </c>
      <c r="X15" s="1">
        <v>11.0379</v>
      </c>
      <c r="Y15" s="1">
        <v>13.18416</v>
      </c>
      <c r="Z15" s="1">
        <v>17.17007</v>
      </c>
      <c r="AA15" s="1">
        <v>22.0758</v>
      </c>
      <c r="AB15" s="1">
        <v>35.25997</v>
      </c>
      <c r="AC15" s="1">
        <v>15.63703</v>
      </c>
      <c r="AD15" s="1">
        <v>18.3965</v>
      </c>
      <c r="AE15" s="1">
        <v>12.26434</v>
      </c>
      <c r="AF15" s="1">
        <v>17.17007</v>
      </c>
      <c r="AG15" s="1">
        <v>22.68902</v>
      </c>
      <c r="AH15" s="1">
        <v>17.17007</v>
      </c>
      <c r="AI15" s="1">
        <v>18.3965</v>
      </c>
      <c r="AJ15" s="1">
        <v>24.52867</v>
      </c>
      <c r="AK15" s="1">
        <v>14.7172</v>
      </c>
      <c r="AL15" s="1">
        <v>12.26434</v>
      </c>
      <c r="AM15" s="1">
        <v>9.81147</v>
      </c>
      <c r="AN15" s="1">
        <v>15.33042</v>
      </c>
      <c r="AO15" s="1">
        <v>9.19825</v>
      </c>
      <c r="AP15" s="1">
        <v>13.33747</v>
      </c>
      <c r="AQ15" s="1">
        <v>9.19825</v>
      </c>
      <c r="AR15" s="1">
        <v>10.42469</v>
      </c>
      <c r="AS15" s="1">
        <v>13.18416</v>
      </c>
      <c r="AT15" s="1">
        <v>13.18416</v>
      </c>
      <c r="AU15" s="1">
        <v>10.27138</v>
      </c>
      <c r="AV15" s="1">
        <v>17.17007</v>
      </c>
      <c r="AW15" s="1">
        <v>20.23615</v>
      </c>
      <c r="AX15" s="2">
        <v>10000</v>
      </c>
      <c r="AY15" s="1">
        <f>AY14</f>
        <v>0</v>
      </c>
      <c r="AZ15" s="1">
        <f>AZ14</f>
        <v>0</v>
      </c>
      <c r="BA15" s="1">
        <f>BA14</f>
        <v>0</v>
      </c>
      <c r="BB15" s="1">
        <f>BB14</f>
        <v>0</v>
      </c>
      <c r="BC15" s="1">
        <f>BC14</f>
        <v>0</v>
      </c>
      <c r="BD15" s="1">
        <f>BD14</f>
        <v>0</v>
      </c>
      <c r="BE15" s="1">
        <f>BE14</f>
        <v>1</v>
      </c>
      <c r="BF15" s="1">
        <f>BF14</f>
        <v>0</v>
      </c>
      <c r="BG15" s="1">
        <f>BG14</f>
        <v>0</v>
      </c>
      <c r="BH15" s="1">
        <f>BH14</f>
        <v>0</v>
      </c>
      <c r="BI15" s="1">
        <f>BI14</f>
        <v>0</v>
      </c>
      <c r="BJ15" s="1">
        <f>BJ14</f>
        <v>0</v>
      </c>
      <c r="BK15" s="1">
        <f>BK14</f>
        <v>0</v>
      </c>
      <c r="BL15" s="1">
        <f>BL14</f>
        <v>0</v>
      </c>
      <c r="BM15" s="1">
        <f>BM14</f>
        <v>0</v>
      </c>
      <c r="BN15" s="1">
        <f>BN14</f>
        <v>0</v>
      </c>
      <c r="BO15" s="1">
        <f>BO14</f>
        <v>0</v>
      </c>
      <c r="BP15" s="1">
        <f>BP14</f>
        <v>0</v>
      </c>
      <c r="BQ15" s="1">
        <f>BQ14</f>
        <v>0</v>
      </c>
      <c r="BR15" s="1">
        <f>BR14</f>
        <v>0</v>
      </c>
      <c r="BS15" s="1">
        <f>BS14</f>
        <v>0</v>
      </c>
      <c r="BT15" s="1">
        <f>BT14</f>
        <v>0</v>
      </c>
      <c r="BU15" s="1">
        <f>BU14</f>
        <v>0</v>
      </c>
      <c r="BV15" s="1">
        <f>BV14</f>
        <v>0</v>
      </c>
      <c r="BW15" s="1">
        <f>BW14</f>
        <v>0</v>
      </c>
      <c r="BX15" s="1">
        <f>BX14</f>
        <v>0</v>
      </c>
      <c r="BY15" s="1">
        <f>AY15*X15</f>
        <v>0</v>
      </c>
      <c r="BZ15" s="1">
        <f>AZ15*Y15</f>
        <v>0</v>
      </c>
      <c r="CA15" s="1">
        <f>BA15*Z15</f>
        <v>0</v>
      </c>
      <c r="CB15" s="1">
        <f>BB15*AA15</f>
        <v>0</v>
      </c>
      <c r="CC15" s="1">
        <f>BC15*AB15</f>
        <v>0</v>
      </c>
      <c r="CD15" s="1">
        <f>BD15*AC15</f>
        <v>0</v>
      </c>
      <c r="CE15" s="1">
        <f>BE15*AD15</f>
        <v>18.3965</v>
      </c>
      <c r="CF15" s="1">
        <f>BF15*AE15</f>
        <v>0</v>
      </c>
      <c r="CG15" s="1">
        <f>BG15*AF15</f>
        <v>0</v>
      </c>
      <c r="CH15" s="1">
        <f>BH15*AG15</f>
        <v>0</v>
      </c>
      <c r="CI15" s="1">
        <f>BI15*AH15</f>
        <v>0</v>
      </c>
      <c r="CJ15" s="1">
        <f>BJ15*AI15</f>
        <v>0</v>
      </c>
      <c r="CK15" s="1">
        <f>BK15*AJ15</f>
        <v>0</v>
      </c>
      <c r="CL15" s="1">
        <f>BL15*AK15</f>
        <v>0</v>
      </c>
      <c r="CM15" s="1">
        <f>BM15*AL15</f>
        <v>0</v>
      </c>
      <c r="CN15" s="1">
        <f>BN15*AM15</f>
        <v>0</v>
      </c>
      <c r="CO15" s="1">
        <f>BO15*AN15</f>
        <v>0</v>
      </c>
      <c r="CP15" s="1">
        <f>BP15*AO15</f>
        <v>0</v>
      </c>
      <c r="CQ15" s="1">
        <f>BQ15*AP15</f>
        <v>0</v>
      </c>
      <c r="CR15" s="1">
        <f>BR15*AQ15</f>
        <v>0</v>
      </c>
      <c r="CS15" s="1">
        <f>BS15*AR15</f>
        <v>0</v>
      </c>
      <c r="CT15" s="1">
        <f>BT15*AS15</f>
        <v>0</v>
      </c>
      <c r="CU15" s="1">
        <f>BU15*AT15</f>
        <v>0</v>
      </c>
      <c r="CV15" s="1">
        <f>BV15*AU15</f>
        <v>0</v>
      </c>
      <c r="CW15" s="1">
        <f>BW15*AV15</f>
        <v>0</v>
      </c>
      <c r="CX15" s="1">
        <f>BX15*AW15</f>
        <v>0</v>
      </c>
    </row>
    <row r="16" spans="1:102" ht="12.75">
      <c r="A16" s="23" t="s">
        <v>108</v>
      </c>
      <c r="B16" s="29">
        <f>C16</f>
        <v>5.56983678744</v>
      </c>
      <c r="C16" s="30">
        <f>C11-((C11-C13)*(C9-C10)/(C12-C10))</f>
        <v>5.56983678744</v>
      </c>
      <c r="D16" s="21" t="s">
        <v>109</v>
      </c>
      <c r="E16" s="22">
        <f>BL51</f>
        <v>3</v>
      </c>
      <c r="F16" s="9" t="s">
        <v>110</v>
      </c>
      <c r="J16" s="26">
        <f>25*J22</f>
        <v>0</v>
      </c>
      <c r="K16" t="b">
        <f>J5&gt;=20</f>
        <v>1</v>
      </c>
      <c r="L16" t="s">
        <v>111</v>
      </c>
      <c r="M16" t="b">
        <f>J5&lt;30</f>
        <v>0</v>
      </c>
      <c r="N16" t="s">
        <v>112</v>
      </c>
      <c r="O16" s="18">
        <f>K16*M16</f>
        <v>0</v>
      </c>
      <c r="P16" s="1">
        <f>W17</f>
        <v>16.09694</v>
      </c>
      <c r="Q16" s="1">
        <f>O16*P16</f>
        <v>0</v>
      </c>
      <c r="R16" s="1">
        <f>O15*P16</f>
        <v>0</v>
      </c>
      <c r="S16" s="18">
        <f>O16*20</f>
        <v>0</v>
      </c>
      <c r="T16" s="18">
        <f>O16*30</f>
        <v>0</v>
      </c>
      <c r="V16">
        <v>15000</v>
      </c>
      <c r="W16" s="1">
        <f>SUM(BY16:CX16)</f>
        <v>16.86346</v>
      </c>
      <c r="X16" s="1">
        <v>10.73129</v>
      </c>
      <c r="Y16" s="1">
        <v>13.03086</v>
      </c>
      <c r="Z16" s="1">
        <v>16.86346</v>
      </c>
      <c r="AA16" s="1">
        <v>21.46259</v>
      </c>
      <c r="AB16" s="1">
        <v>32.19388</v>
      </c>
      <c r="AC16" s="1">
        <v>14.5639</v>
      </c>
      <c r="AD16" s="1">
        <v>16.86346</v>
      </c>
      <c r="AE16" s="1">
        <v>11.49782</v>
      </c>
      <c r="AF16" s="1">
        <v>16.09694</v>
      </c>
      <c r="AG16" s="1">
        <v>20.69607</v>
      </c>
      <c r="AH16" s="1">
        <v>16.09694</v>
      </c>
      <c r="AI16" s="1">
        <v>17.32337</v>
      </c>
      <c r="AJ16" s="1">
        <v>23.30224</v>
      </c>
      <c r="AK16" s="1">
        <v>13.79739</v>
      </c>
      <c r="AL16" s="1">
        <v>11.49782</v>
      </c>
      <c r="AM16" s="1">
        <v>9.19825</v>
      </c>
      <c r="AN16" s="1">
        <v>12.87755</v>
      </c>
      <c r="AO16" s="1">
        <v>8.73834</v>
      </c>
      <c r="AP16" s="1">
        <v>12.72425</v>
      </c>
      <c r="AQ16" s="1">
        <v>8.73834</v>
      </c>
      <c r="AR16" s="1">
        <v>9.65816</v>
      </c>
      <c r="AS16" s="1">
        <v>12.57094</v>
      </c>
      <c r="AT16" s="1">
        <v>12.57094</v>
      </c>
      <c r="AU16" s="1">
        <v>9.65816</v>
      </c>
      <c r="AV16" s="1">
        <v>15.63703</v>
      </c>
      <c r="AW16" s="1">
        <v>19.31633</v>
      </c>
      <c r="AX16" s="2">
        <v>15000</v>
      </c>
      <c r="AY16" s="1">
        <f>AY15</f>
        <v>0</v>
      </c>
      <c r="AZ16" s="1">
        <f>AZ15</f>
        <v>0</v>
      </c>
      <c r="BA16" s="1">
        <f>BA15</f>
        <v>0</v>
      </c>
      <c r="BB16" s="1">
        <f>BB15</f>
        <v>0</v>
      </c>
      <c r="BC16" s="1">
        <f>BC15</f>
        <v>0</v>
      </c>
      <c r="BD16" s="1">
        <f>BD15</f>
        <v>0</v>
      </c>
      <c r="BE16" s="1">
        <f>BE15</f>
        <v>1</v>
      </c>
      <c r="BF16" s="1">
        <f>BF15</f>
        <v>0</v>
      </c>
      <c r="BG16" s="1">
        <f>BG15</f>
        <v>0</v>
      </c>
      <c r="BH16" s="1">
        <f>BH15</f>
        <v>0</v>
      </c>
      <c r="BI16" s="1">
        <f>BI15</f>
        <v>0</v>
      </c>
      <c r="BJ16" s="1">
        <f>BJ15</f>
        <v>0</v>
      </c>
      <c r="BK16" s="1">
        <f>BK15</f>
        <v>0</v>
      </c>
      <c r="BL16" s="1">
        <f>BL15</f>
        <v>0</v>
      </c>
      <c r="BM16" s="1">
        <f>BM15</f>
        <v>0</v>
      </c>
      <c r="BN16" s="1">
        <f>BN15</f>
        <v>0</v>
      </c>
      <c r="BO16" s="1">
        <f>BO15</f>
        <v>0</v>
      </c>
      <c r="BP16" s="1">
        <f>BP15</f>
        <v>0</v>
      </c>
      <c r="BQ16" s="1">
        <f>BQ15</f>
        <v>0</v>
      </c>
      <c r="BR16" s="1">
        <f>BR15</f>
        <v>0</v>
      </c>
      <c r="BS16" s="1">
        <f>BS15</f>
        <v>0</v>
      </c>
      <c r="BT16" s="1">
        <f>BT15</f>
        <v>0</v>
      </c>
      <c r="BU16" s="1">
        <f>BU15</f>
        <v>0</v>
      </c>
      <c r="BV16" s="1">
        <f>BV15</f>
        <v>0</v>
      </c>
      <c r="BW16" s="1">
        <f>BW15</f>
        <v>0</v>
      </c>
      <c r="BX16" s="1">
        <f>BX15</f>
        <v>0</v>
      </c>
      <c r="BY16" s="1">
        <f>AY16*X16</f>
        <v>0</v>
      </c>
      <c r="BZ16" s="1">
        <f>AZ16*Y16</f>
        <v>0</v>
      </c>
      <c r="CA16" s="1">
        <f>BA16*Z16</f>
        <v>0</v>
      </c>
      <c r="CB16" s="1">
        <f>BB16*AA16</f>
        <v>0</v>
      </c>
      <c r="CC16" s="1">
        <f>BC16*AB16</f>
        <v>0</v>
      </c>
      <c r="CD16" s="1">
        <f>BD16*AC16</f>
        <v>0</v>
      </c>
      <c r="CE16" s="1">
        <f>BE16*AD16</f>
        <v>16.86346</v>
      </c>
      <c r="CF16" s="1">
        <f>BF16*AE16</f>
        <v>0</v>
      </c>
      <c r="CG16" s="1">
        <f>BG16*AF16</f>
        <v>0</v>
      </c>
      <c r="CH16" s="1">
        <f>BH16*AG16</f>
        <v>0</v>
      </c>
      <c r="CI16" s="1">
        <f>BI16*AH16</f>
        <v>0</v>
      </c>
      <c r="CJ16" s="1">
        <f>BJ16*AI16</f>
        <v>0</v>
      </c>
      <c r="CK16" s="1">
        <f>BK16*AJ16</f>
        <v>0</v>
      </c>
      <c r="CL16" s="1">
        <f>BL16*AK16</f>
        <v>0</v>
      </c>
      <c r="CM16" s="1">
        <f>BM16*AL16</f>
        <v>0</v>
      </c>
      <c r="CN16" s="1">
        <f>BN16*AM16</f>
        <v>0</v>
      </c>
      <c r="CO16" s="1">
        <f>BO16*AN16</f>
        <v>0</v>
      </c>
      <c r="CP16" s="1">
        <f>BP16*AO16</f>
        <v>0</v>
      </c>
      <c r="CQ16" s="1">
        <f>BQ16*AP16</f>
        <v>0</v>
      </c>
      <c r="CR16" s="1">
        <f>BR16*AQ16</f>
        <v>0</v>
      </c>
      <c r="CS16" s="1">
        <f>BS16*AR16</f>
        <v>0</v>
      </c>
      <c r="CT16" s="1">
        <f>BT16*AS16</f>
        <v>0</v>
      </c>
      <c r="CU16" s="1">
        <f>BU16*AT16</f>
        <v>0</v>
      </c>
      <c r="CV16" s="1">
        <f>BV16*AU16</f>
        <v>0</v>
      </c>
      <c r="CW16" s="1">
        <f>BW16*AV16</f>
        <v>0</v>
      </c>
      <c r="CX16" s="1">
        <f>BX16*AW16</f>
        <v>0</v>
      </c>
    </row>
    <row r="17" spans="1:102" ht="12.75">
      <c r="A17" s="23" t="s">
        <v>113</v>
      </c>
      <c r="B17" s="28">
        <f>C17/$H$4</f>
        <v>28071.9774086976</v>
      </c>
      <c r="C17" s="15">
        <f>C18*J5*10000+C15</f>
        <v>54354927.6971389</v>
      </c>
      <c r="D17" s="31" t="s">
        <v>114</v>
      </c>
      <c r="E17" s="22">
        <f>BL52</f>
        <v>7</v>
      </c>
      <c r="F17" s="9" t="s">
        <v>115</v>
      </c>
      <c r="J17" s="9" t="s">
        <v>116</v>
      </c>
      <c r="K17" t="b">
        <f>J5&gt;=30</f>
        <v>1</v>
      </c>
      <c r="L17" t="s">
        <v>117</v>
      </c>
      <c r="M17" t="b">
        <f>J5&lt;40</f>
        <v>0</v>
      </c>
      <c r="N17" t="s">
        <v>118</v>
      </c>
      <c r="O17" s="18">
        <f>K17*M17</f>
        <v>0</v>
      </c>
      <c r="P17" s="1">
        <f>W18</f>
        <v>15.33042</v>
      </c>
      <c r="Q17" s="1">
        <f>O17*P17</f>
        <v>0</v>
      </c>
      <c r="R17" s="1">
        <f>O16*P17</f>
        <v>0</v>
      </c>
      <c r="S17" s="18">
        <f>O17*30</f>
        <v>0</v>
      </c>
      <c r="T17" s="18">
        <f>O17*40</f>
        <v>0</v>
      </c>
      <c r="V17">
        <v>20000</v>
      </c>
      <c r="W17" s="1">
        <f>SUM(BY17:CX17)</f>
        <v>16.09694</v>
      </c>
      <c r="X17" s="1">
        <v>9.96477</v>
      </c>
      <c r="Y17" s="1">
        <v>12.72425</v>
      </c>
      <c r="Z17" s="1">
        <v>16.09694</v>
      </c>
      <c r="AA17" s="1">
        <v>20.69607</v>
      </c>
      <c r="AB17" s="1">
        <v>30.66084</v>
      </c>
      <c r="AC17" s="1">
        <v>13.79738</v>
      </c>
      <c r="AD17" s="1">
        <v>16.09694</v>
      </c>
      <c r="AE17" s="1">
        <v>10.73129</v>
      </c>
      <c r="AF17" s="1">
        <v>15.02381</v>
      </c>
      <c r="AG17" s="1">
        <v>19.31633</v>
      </c>
      <c r="AH17" s="1">
        <v>15.02381</v>
      </c>
      <c r="AI17" s="1">
        <v>16.09694</v>
      </c>
      <c r="AJ17" s="1">
        <v>21.46259</v>
      </c>
      <c r="AK17" s="1">
        <v>12.87755</v>
      </c>
      <c r="AL17" s="1">
        <v>10.73129</v>
      </c>
      <c r="AM17" s="1">
        <v>8.58504</v>
      </c>
      <c r="AN17" s="1">
        <v>12.26434</v>
      </c>
      <c r="AO17" s="1">
        <v>8.43173</v>
      </c>
      <c r="AP17" s="1">
        <v>12.26434</v>
      </c>
      <c r="AQ17" s="1">
        <v>8.43173</v>
      </c>
      <c r="AR17" s="1">
        <v>9.19825</v>
      </c>
      <c r="AS17" s="1">
        <v>11.95773</v>
      </c>
      <c r="AT17" s="1">
        <v>11.95773</v>
      </c>
      <c r="AU17" s="1">
        <v>9.19825</v>
      </c>
      <c r="AV17" s="1">
        <v>15.33042</v>
      </c>
      <c r="AW17" s="1">
        <v>18.70311</v>
      </c>
      <c r="AX17" s="2">
        <v>20000</v>
      </c>
      <c r="AY17" s="1">
        <f>AY16</f>
        <v>0</v>
      </c>
      <c r="AZ17" s="1">
        <f>AZ16</f>
        <v>0</v>
      </c>
      <c r="BA17" s="1">
        <f>BA16</f>
        <v>0</v>
      </c>
      <c r="BB17" s="1">
        <f>BB16</f>
        <v>0</v>
      </c>
      <c r="BC17" s="1">
        <f>BC16</f>
        <v>0</v>
      </c>
      <c r="BD17" s="1">
        <f>BD16</f>
        <v>0</v>
      </c>
      <c r="BE17" s="1">
        <f>BE16</f>
        <v>1</v>
      </c>
      <c r="BF17" s="1">
        <f>BF16</f>
        <v>0</v>
      </c>
      <c r="BG17" s="1">
        <f>BG16</f>
        <v>0</v>
      </c>
      <c r="BH17" s="1">
        <f>BH16</f>
        <v>0</v>
      </c>
      <c r="BI17" s="1">
        <f>BI16</f>
        <v>0</v>
      </c>
      <c r="BJ17" s="1">
        <f>BJ16</f>
        <v>0</v>
      </c>
      <c r="BK17" s="1">
        <f>BK16</f>
        <v>0</v>
      </c>
      <c r="BL17" s="1">
        <f>BL16</f>
        <v>0</v>
      </c>
      <c r="BM17" s="1">
        <f>BM16</f>
        <v>0</v>
      </c>
      <c r="BN17" s="1">
        <f>BN16</f>
        <v>0</v>
      </c>
      <c r="BO17" s="1">
        <f>BO16</f>
        <v>0</v>
      </c>
      <c r="BP17" s="1">
        <f>BP16</f>
        <v>0</v>
      </c>
      <c r="BQ17" s="1">
        <f>BQ16</f>
        <v>0</v>
      </c>
      <c r="BR17" s="1">
        <f>BR16</f>
        <v>0</v>
      </c>
      <c r="BS17" s="1">
        <f>BS16</f>
        <v>0</v>
      </c>
      <c r="BT17" s="1">
        <f>BT16</f>
        <v>0</v>
      </c>
      <c r="BU17" s="1">
        <f>BU16</f>
        <v>0</v>
      </c>
      <c r="BV17" s="1">
        <f>BV16</f>
        <v>0</v>
      </c>
      <c r="BW17" s="1">
        <f>BW16</f>
        <v>0</v>
      </c>
      <c r="BX17" s="1">
        <f>BX16</f>
        <v>0</v>
      </c>
      <c r="BY17" s="1">
        <f>AY17*X17</f>
        <v>0</v>
      </c>
      <c r="BZ17" s="1">
        <f>AZ17*Y17</f>
        <v>0</v>
      </c>
      <c r="CA17" s="1">
        <f>BA17*Z17</f>
        <v>0</v>
      </c>
      <c r="CB17" s="1">
        <f>BB17*AA17</f>
        <v>0</v>
      </c>
      <c r="CC17" s="1">
        <f>BC17*AB17</f>
        <v>0</v>
      </c>
      <c r="CD17" s="1">
        <f>BD17*AC17</f>
        <v>0</v>
      </c>
      <c r="CE17" s="1">
        <f>BE17*AD17</f>
        <v>16.09694</v>
      </c>
      <c r="CF17" s="1">
        <f>BF17*AE17</f>
        <v>0</v>
      </c>
      <c r="CG17" s="1">
        <f>BG17*AF17</f>
        <v>0</v>
      </c>
      <c r="CH17" s="1">
        <f>BH17*AG17</f>
        <v>0</v>
      </c>
      <c r="CI17" s="1">
        <f>BI17*AH17</f>
        <v>0</v>
      </c>
      <c r="CJ17" s="1">
        <f>BJ17*AI17</f>
        <v>0</v>
      </c>
      <c r="CK17" s="1">
        <f>BK17*AJ17</f>
        <v>0</v>
      </c>
      <c r="CL17" s="1">
        <f>BL17*AK17</f>
        <v>0</v>
      </c>
      <c r="CM17" s="1">
        <f>BM17*AL17</f>
        <v>0</v>
      </c>
      <c r="CN17" s="1">
        <f>BN17*AM17</f>
        <v>0</v>
      </c>
      <c r="CO17" s="1">
        <f>BO17*AN17</f>
        <v>0</v>
      </c>
      <c r="CP17" s="1">
        <f>BP17*AO17</f>
        <v>0</v>
      </c>
      <c r="CQ17" s="1">
        <f>BQ17*AP17</f>
        <v>0</v>
      </c>
      <c r="CR17" s="1">
        <f>BR17*AQ17</f>
        <v>0</v>
      </c>
      <c r="CS17" s="1">
        <f>BS17*AR17</f>
        <v>0</v>
      </c>
      <c r="CT17" s="1">
        <f>BT17*AS17</f>
        <v>0</v>
      </c>
      <c r="CU17" s="1">
        <f>BU17*AT17</f>
        <v>0</v>
      </c>
      <c r="CV17" s="1">
        <f>BV17*AU17</f>
        <v>0</v>
      </c>
      <c r="CW17" s="1">
        <f>BW17*AV17</f>
        <v>0</v>
      </c>
      <c r="CX17" s="1">
        <f>BX17*AW17</f>
        <v>0</v>
      </c>
    </row>
    <row r="18" spans="1:102" ht="12">
      <c r="A18" s="23" t="s">
        <v>119</v>
      </c>
      <c r="B18" s="29">
        <f>C18</f>
        <v>5.56983678744</v>
      </c>
      <c r="C18" s="32">
        <f>C16</f>
        <v>5.56983678744</v>
      </c>
      <c r="E18" s="9">
        <f>E8+E9+E10+E11+E12+E13+E14+E15+E16+E17</f>
        <v>100</v>
      </c>
      <c r="F18" s="9" t="s">
        <v>120</v>
      </c>
      <c r="G18" s="9"/>
      <c r="H18" s="9"/>
      <c r="I18" s="9"/>
      <c r="J18" s="9" t="s">
        <v>121</v>
      </c>
      <c r="K18" t="b">
        <f>J5&gt;=40</f>
        <v>1</v>
      </c>
      <c r="L18" t="s">
        <v>122</v>
      </c>
      <c r="M18" t="b">
        <f>J5&lt;50</f>
        <v>0</v>
      </c>
      <c r="N18" t="s">
        <v>123</v>
      </c>
      <c r="O18" s="18">
        <f>K18*M18</f>
        <v>0</v>
      </c>
      <c r="P18" s="1">
        <f>W19</f>
        <v>14.5639</v>
      </c>
      <c r="Q18" s="1">
        <f>O18*P18</f>
        <v>0</v>
      </c>
      <c r="R18" s="1">
        <f>O17*P18</f>
        <v>0</v>
      </c>
      <c r="S18" s="18">
        <f>O18*40</f>
        <v>0</v>
      </c>
      <c r="T18" s="18">
        <f>O18*50</f>
        <v>0</v>
      </c>
      <c r="V18">
        <v>30000</v>
      </c>
      <c r="W18" s="1">
        <f>SUM(BY18:CX18)</f>
        <v>15.33042</v>
      </c>
      <c r="X18" s="1">
        <v>9.65816</v>
      </c>
      <c r="Y18" s="1">
        <v>12.26434</v>
      </c>
      <c r="Z18" s="1">
        <v>15.33042</v>
      </c>
      <c r="AA18" s="1">
        <v>19.31633</v>
      </c>
      <c r="AB18" s="1">
        <v>27.59476</v>
      </c>
      <c r="AC18" s="1">
        <v>13.03086</v>
      </c>
      <c r="AD18" s="1">
        <v>15.33042</v>
      </c>
      <c r="AE18" s="1">
        <v>9.96477</v>
      </c>
      <c r="AF18" s="1">
        <v>13.95068</v>
      </c>
      <c r="AG18" s="1">
        <v>17.93659</v>
      </c>
      <c r="AH18" s="1">
        <v>13.95068</v>
      </c>
      <c r="AI18" s="1">
        <v>15.02381</v>
      </c>
      <c r="AJ18" s="1">
        <v>19.92955</v>
      </c>
      <c r="AK18" s="1">
        <v>11.95773</v>
      </c>
      <c r="AL18" s="1">
        <v>9.96477</v>
      </c>
      <c r="AM18" s="1">
        <v>7.97182</v>
      </c>
      <c r="AN18" s="1">
        <v>11.34451</v>
      </c>
      <c r="AO18" s="1">
        <v>7.66521</v>
      </c>
      <c r="AP18" s="1">
        <v>11.65112</v>
      </c>
      <c r="AQ18" s="1">
        <v>7.66521</v>
      </c>
      <c r="AR18" s="1">
        <v>8.58504</v>
      </c>
      <c r="AS18" s="1">
        <v>10.8846</v>
      </c>
      <c r="AT18" s="1">
        <v>10.8846</v>
      </c>
      <c r="AU18" s="1">
        <v>8.58504</v>
      </c>
      <c r="AV18" s="1">
        <v>14.7172</v>
      </c>
      <c r="AW18" s="1">
        <v>17.47688</v>
      </c>
      <c r="AX18" s="2">
        <v>30000</v>
      </c>
      <c r="AY18" s="1">
        <f>AY17</f>
        <v>0</v>
      </c>
      <c r="AZ18" s="1">
        <f>AZ17</f>
        <v>0</v>
      </c>
      <c r="BA18" s="1">
        <f>BA17</f>
        <v>0</v>
      </c>
      <c r="BB18" s="1">
        <f>BB17</f>
        <v>0</v>
      </c>
      <c r="BC18" s="1">
        <f>BC17</f>
        <v>0</v>
      </c>
      <c r="BD18" s="1">
        <f>BD17</f>
        <v>0</v>
      </c>
      <c r="BE18" s="1">
        <f>BE17</f>
        <v>1</v>
      </c>
      <c r="BF18" s="1">
        <f>BF17</f>
        <v>0</v>
      </c>
      <c r="BG18" s="1">
        <f>BG17</f>
        <v>0</v>
      </c>
      <c r="BH18" s="1">
        <f>BH17</f>
        <v>0</v>
      </c>
      <c r="BI18" s="1">
        <f>BI17</f>
        <v>0</v>
      </c>
      <c r="BJ18" s="1">
        <f>BJ17</f>
        <v>0</v>
      </c>
      <c r="BK18" s="1">
        <f>BK17</f>
        <v>0</v>
      </c>
      <c r="BL18" s="1">
        <f>BL17</f>
        <v>0</v>
      </c>
      <c r="BM18" s="1">
        <f>BM17</f>
        <v>0</v>
      </c>
      <c r="BN18" s="1">
        <f>BN17</f>
        <v>0</v>
      </c>
      <c r="BO18" s="1">
        <f>BO17</f>
        <v>0</v>
      </c>
      <c r="BP18" s="1">
        <f>BP17</f>
        <v>0</v>
      </c>
      <c r="BQ18" s="1">
        <f>BQ17</f>
        <v>0</v>
      </c>
      <c r="BR18" s="1">
        <f>BR17</f>
        <v>0</v>
      </c>
      <c r="BS18" s="1">
        <f>BS17</f>
        <v>0</v>
      </c>
      <c r="BT18" s="1">
        <f>BT17</f>
        <v>0</v>
      </c>
      <c r="BU18" s="1">
        <f>BU17</f>
        <v>0</v>
      </c>
      <c r="BV18" s="1">
        <f>BV17</f>
        <v>0</v>
      </c>
      <c r="BW18" s="1">
        <f>BW17</f>
        <v>0</v>
      </c>
      <c r="BX18" s="1">
        <f>BX17</f>
        <v>0</v>
      </c>
      <c r="BY18" s="1">
        <f>AY18*X18</f>
        <v>0</v>
      </c>
      <c r="BZ18" s="1">
        <f>AZ18*Y18</f>
        <v>0</v>
      </c>
      <c r="CA18" s="1">
        <f>BA18*Z18</f>
        <v>0</v>
      </c>
      <c r="CB18" s="1">
        <f>BB18*AA18</f>
        <v>0</v>
      </c>
      <c r="CC18" s="1">
        <f>BC18*AB18</f>
        <v>0</v>
      </c>
      <c r="CD18" s="1">
        <f>BD18*AC18</f>
        <v>0</v>
      </c>
      <c r="CE18" s="1">
        <f>BE18*AD18</f>
        <v>15.33042</v>
      </c>
      <c r="CF18" s="1">
        <f>BF18*AE18</f>
        <v>0</v>
      </c>
      <c r="CG18" s="1">
        <f>BG18*AF18</f>
        <v>0</v>
      </c>
      <c r="CH18" s="1">
        <f>BH18*AG18</f>
        <v>0</v>
      </c>
      <c r="CI18" s="1">
        <f>BI18*AH18</f>
        <v>0</v>
      </c>
      <c r="CJ18" s="1">
        <f>BJ18*AI18</f>
        <v>0</v>
      </c>
      <c r="CK18" s="1">
        <f>BK18*AJ18</f>
        <v>0</v>
      </c>
      <c r="CL18" s="1">
        <f>BL18*AK18</f>
        <v>0</v>
      </c>
      <c r="CM18" s="1">
        <f>BM18*AL18</f>
        <v>0</v>
      </c>
      <c r="CN18" s="1">
        <f>BN18*AM18</f>
        <v>0</v>
      </c>
      <c r="CO18" s="1">
        <f>BO18*AN18</f>
        <v>0</v>
      </c>
      <c r="CP18" s="1">
        <f>BP18*AO18</f>
        <v>0</v>
      </c>
      <c r="CQ18" s="1">
        <f>BQ18*AP18</f>
        <v>0</v>
      </c>
      <c r="CR18" s="1">
        <f>BR18*AQ18</f>
        <v>0</v>
      </c>
      <c r="CS18" s="1">
        <f>BS18*AR18</f>
        <v>0</v>
      </c>
      <c r="CT18" s="1">
        <f>BT18*AS18</f>
        <v>0</v>
      </c>
      <c r="CU18" s="1">
        <f>BU18*AT18</f>
        <v>0</v>
      </c>
      <c r="CV18" s="1">
        <f>BV18*AU18</f>
        <v>0</v>
      </c>
      <c r="CW18" s="1">
        <f>BW18*AV18</f>
        <v>0</v>
      </c>
      <c r="CX18" s="1">
        <f>BX18*AW18</f>
        <v>0</v>
      </c>
    </row>
    <row r="19" spans="1:102" ht="12">
      <c r="A19" s="33" t="s">
        <v>124</v>
      </c>
      <c r="B19" s="28">
        <f>C19/$H$4</f>
        <v>15439.58757478368</v>
      </c>
      <c r="C19" s="34">
        <f>C17*D19/100</f>
        <v>29895210.233426396</v>
      </c>
      <c r="D19" s="35">
        <f>E8+E9+E10+E11+E12+E13</f>
        <v>55</v>
      </c>
      <c r="E19" s="23" t="s">
        <v>125</v>
      </c>
      <c r="F19" s="9"/>
      <c r="G19" s="9"/>
      <c r="H19" s="9"/>
      <c r="I19" s="9"/>
      <c r="J19" t="b">
        <f>D24=0</f>
        <v>1</v>
      </c>
      <c r="K19" t="b">
        <f>J5&gt;=50</f>
        <v>1</v>
      </c>
      <c r="L19" t="s">
        <v>126</v>
      </c>
      <c r="M19" t="b">
        <f>J5&lt;100</f>
        <v>0</v>
      </c>
      <c r="N19" t="s">
        <v>127</v>
      </c>
      <c r="O19" s="18">
        <f>K19*M19</f>
        <v>0</v>
      </c>
      <c r="P19" s="1">
        <f>W20</f>
        <v>13.79738</v>
      </c>
      <c r="Q19" s="1">
        <f>O19*P19</f>
        <v>0</v>
      </c>
      <c r="R19" s="1">
        <f>O18*P19</f>
        <v>0</v>
      </c>
      <c r="S19" s="18">
        <f>O19*50</f>
        <v>0</v>
      </c>
      <c r="T19" s="18">
        <f>O19*100</f>
        <v>0</v>
      </c>
      <c r="V19">
        <v>40000</v>
      </c>
      <c r="W19" s="1">
        <f>SUM(BY19:CX19)</f>
        <v>14.5639</v>
      </c>
      <c r="X19" s="1">
        <v>9.19826</v>
      </c>
      <c r="Y19" s="1">
        <v>11.49782</v>
      </c>
      <c r="Z19" s="1">
        <v>14.5639</v>
      </c>
      <c r="AA19" s="1">
        <v>19.00972</v>
      </c>
      <c r="AB19" s="1">
        <v>26.061714</v>
      </c>
      <c r="AC19" s="1">
        <v>12.26434</v>
      </c>
      <c r="AD19" s="1">
        <v>14.5639</v>
      </c>
      <c r="AE19" s="1">
        <v>9.19825</v>
      </c>
      <c r="AF19" s="1">
        <v>12.87755</v>
      </c>
      <c r="AG19" s="1">
        <v>16.55685</v>
      </c>
      <c r="AH19" s="1">
        <v>12.87755</v>
      </c>
      <c r="AI19" s="1">
        <v>13.79738</v>
      </c>
      <c r="AJ19" s="1">
        <v>18.3965</v>
      </c>
      <c r="AK19" s="1">
        <v>11.0379</v>
      </c>
      <c r="AL19" s="1">
        <v>9.19825</v>
      </c>
      <c r="AM19" s="1">
        <v>7.3586</v>
      </c>
      <c r="AN19" s="1">
        <f>(AN18+AN20)/2</f>
        <v>10.424685</v>
      </c>
      <c r="AO19" s="1">
        <v>6.89869</v>
      </c>
      <c r="AP19" s="1">
        <v>11.0379</v>
      </c>
      <c r="AQ19" s="1">
        <v>6.89869</v>
      </c>
      <c r="AR19" s="1">
        <v>7.97182</v>
      </c>
      <c r="AS19" s="1">
        <v>9.96477</v>
      </c>
      <c r="AT19" s="1">
        <v>9.96477</v>
      </c>
      <c r="AU19" s="1">
        <v>7.97182</v>
      </c>
      <c r="AV19" s="1">
        <v>14.10399</v>
      </c>
      <c r="AW19" s="1">
        <v>16.40355</v>
      </c>
      <c r="AX19" s="2">
        <v>40000</v>
      </c>
      <c r="AY19" s="1">
        <f>AY18</f>
        <v>0</v>
      </c>
      <c r="AZ19" s="1">
        <f>AZ18</f>
        <v>0</v>
      </c>
      <c r="BA19" s="1">
        <f>BA18</f>
        <v>0</v>
      </c>
      <c r="BB19" s="1">
        <f>BB18</f>
        <v>0</v>
      </c>
      <c r="BC19" s="1">
        <f>BC18</f>
        <v>0</v>
      </c>
      <c r="BD19" s="1">
        <f>BD18</f>
        <v>0</v>
      </c>
      <c r="BE19" s="1">
        <f>BE18</f>
        <v>1</v>
      </c>
      <c r="BF19" s="1">
        <f>BF18</f>
        <v>0</v>
      </c>
      <c r="BG19" s="1">
        <f>BG18</f>
        <v>0</v>
      </c>
      <c r="BH19" s="1">
        <f>BH18</f>
        <v>0</v>
      </c>
      <c r="BI19" s="1">
        <f>BI18</f>
        <v>0</v>
      </c>
      <c r="BJ19" s="1">
        <f>BJ18</f>
        <v>0</v>
      </c>
      <c r="BK19" s="1">
        <f>BK18</f>
        <v>0</v>
      </c>
      <c r="BL19" s="1">
        <f>BL18</f>
        <v>0</v>
      </c>
      <c r="BM19" s="1">
        <f>BM18</f>
        <v>0</v>
      </c>
      <c r="BN19" s="1">
        <f>BN18</f>
        <v>0</v>
      </c>
      <c r="BO19" s="1">
        <f>BO18</f>
        <v>0</v>
      </c>
      <c r="BP19" s="1">
        <f>BP18</f>
        <v>0</v>
      </c>
      <c r="BQ19" s="1">
        <f>BQ18</f>
        <v>0</v>
      </c>
      <c r="BR19" s="1">
        <f>BR18</f>
        <v>0</v>
      </c>
      <c r="BS19" s="1">
        <f>BS18</f>
        <v>0</v>
      </c>
      <c r="BT19" s="1">
        <f>BT18</f>
        <v>0</v>
      </c>
      <c r="BU19" s="1">
        <f>BU18</f>
        <v>0</v>
      </c>
      <c r="BV19" s="1">
        <f>BV18</f>
        <v>0</v>
      </c>
      <c r="BW19" s="1">
        <f>BW18</f>
        <v>0</v>
      </c>
      <c r="BX19" s="1">
        <f>BX18</f>
        <v>0</v>
      </c>
      <c r="BY19" s="1">
        <f>AY19*X19</f>
        <v>0</v>
      </c>
      <c r="BZ19" s="1">
        <f>AZ19*Y19</f>
        <v>0</v>
      </c>
      <c r="CA19" s="1">
        <f>BA19*Z19</f>
        <v>0</v>
      </c>
      <c r="CB19" s="1">
        <f>BB19*AA19</f>
        <v>0</v>
      </c>
      <c r="CC19" s="1">
        <f>BC19*AB19</f>
        <v>0</v>
      </c>
      <c r="CD19" s="1">
        <f>BD19*AC19</f>
        <v>0</v>
      </c>
      <c r="CE19" s="1">
        <f>BE19*AD19</f>
        <v>14.5639</v>
      </c>
      <c r="CF19" s="1">
        <f>BF19*AE19</f>
        <v>0</v>
      </c>
      <c r="CG19" s="1">
        <f>BG19*AF19</f>
        <v>0</v>
      </c>
      <c r="CH19" s="1">
        <f>BH19*AG19</f>
        <v>0</v>
      </c>
      <c r="CI19" s="1">
        <f>BI19*AH19</f>
        <v>0</v>
      </c>
      <c r="CJ19" s="1">
        <f>BJ19*AI19</f>
        <v>0</v>
      </c>
      <c r="CK19" s="1">
        <f>BK19*AJ19</f>
        <v>0</v>
      </c>
      <c r="CL19" s="1">
        <f>BL19*AK19</f>
        <v>0</v>
      </c>
      <c r="CM19" s="1">
        <f>BM19*AL19</f>
        <v>0</v>
      </c>
      <c r="CN19" s="1">
        <f>BN19*AM19</f>
        <v>0</v>
      </c>
      <c r="CO19" s="1">
        <f>BO19*AN19</f>
        <v>0</v>
      </c>
      <c r="CP19" s="1">
        <f>BP19*AO19</f>
        <v>0</v>
      </c>
      <c r="CQ19" s="1">
        <f>BQ19*AP19</f>
        <v>0</v>
      </c>
      <c r="CR19" s="1">
        <f>BR19*AQ19</f>
        <v>0</v>
      </c>
      <c r="CS19" s="1">
        <f>BS19*AR19</f>
        <v>0</v>
      </c>
      <c r="CT19" s="1">
        <f>BT19*AS19</f>
        <v>0</v>
      </c>
      <c r="CU19" s="1">
        <f>BU19*AT19</f>
        <v>0</v>
      </c>
      <c r="CV19" s="1">
        <f>BV19*AU19</f>
        <v>0</v>
      </c>
      <c r="CW19" s="1">
        <f>BW19*AV19</f>
        <v>0</v>
      </c>
      <c r="CX19" s="1">
        <f>BX19*AW19</f>
        <v>0</v>
      </c>
    </row>
    <row r="20" spans="1:102" ht="12">
      <c r="A20" s="23" t="s">
        <v>128</v>
      </c>
      <c r="B20" s="36">
        <f>B9</f>
        <v>504000</v>
      </c>
      <c r="C20" s="25">
        <f>B20*H4</f>
        <v>975880080</v>
      </c>
      <c r="E20" s="9"/>
      <c r="F20" s="9"/>
      <c r="G20" s="9"/>
      <c r="H20" s="9"/>
      <c r="I20" s="9"/>
      <c r="J20" s="18">
        <f>100-E18</f>
        <v>0</v>
      </c>
      <c r="K20" t="b">
        <f>J5&gt;=100</f>
        <v>1</v>
      </c>
      <c r="L20" t="s">
        <v>129</v>
      </c>
      <c r="M20" t="b">
        <f>J5&lt;150</f>
        <v>0</v>
      </c>
      <c r="N20" t="s">
        <v>130</v>
      </c>
      <c r="O20" s="18">
        <f>K20*M20</f>
        <v>0</v>
      </c>
      <c r="P20" s="1">
        <f>W21</f>
        <v>12.26434</v>
      </c>
      <c r="Q20" s="1">
        <f>O20*P20</f>
        <v>0</v>
      </c>
      <c r="R20" s="1">
        <f>O19*P20</f>
        <v>0</v>
      </c>
      <c r="S20" s="18">
        <f>O20*100</f>
        <v>0</v>
      </c>
      <c r="T20" s="18">
        <f>O20*150</f>
        <v>0</v>
      </c>
      <c r="V20">
        <v>50000</v>
      </c>
      <c r="W20" s="1">
        <f>SUM(BY20:CX20)</f>
        <v>13.79738</v>
      </c>
      <c r="X20" s="1">
        <v>8.89164</v>
      </c>
      <c r="Y20" s="1">
        <v>10.73129</v>
      </c>
      <c r="Z20" s="1">
        <v>13.79738</v>
      </c>
      <c r="AA20" s="1">
        <v>18.3965</v>
      </c>
      <c r="AB20" s="1">
        <v>24.52867</v>
      </c>
      <c r="AC20" s="1">
        <v>11.49782</v>
      </c>
      <c r="AD20" s="1">
        <v>13.79738</v>
      </c>
      <c r="AE20" s="1">
        <v>8.73834</v>
      </c>
      <c r="AF20" s="1">
        <v>12.26434</v>
      </c>
      <c r="AG20" s="1">
        <v>15.79033</v>
      </c>
      <c r="AH20" s="1">
        <v>12.26434</v>
      </c>
      <c r="AI20" s="1">
        <v>13.18416</v>
      </c>
      <c r="AJ20" s="1">
        <v>17.47668</v>
      </c>
      <c r="AK20" s="1">
        <v>10.42469</v>
      </c>
      <c r="AL20" s="1">
        <v>8.73834</v>
      </c>
      <c r="AM20" s="1">
        <v>7.05199</v>
      </c>
      <c r="AN20" s="1">
        <v>9.50486</v>
      </c>
      <c r="AO20" s="1">
        <v>6.13217</v>
      </c>
      <c r="AP20" s="1">
        <v>10.42469</v>
      </c>
      <c r="AQ20" s="1">
        <v>6.13217</v>
      </c>
      <c r="AR20" s="1">
        <v>7.3586</v>
      </c>
      <c r="AS20" s="1">
        <v>9.19825</v>
      </c>
      <c r="AT20" s="1">
        <v>9.19825</v>
      </c>
      <c r="AU20" s="1">
        <v>7.3586</v>
      </c>
      <c r="AV20" s="1">
        <v>13.49077</v>
      </c>
      <c r="AW20" s="1">
        <v>15.33042</v>
      </c>
      <c r="AX20" s="2">
        <v>50000</v>
      </c>
      <c r="AY20" s="1">
        <f>AY19</f>
        <v>0</v>
      </c>
      <c r="AZ20" s="1">
        <f>AZ19</f>
        <v>0</v>
      </c>
      <c r="BA20" s="1">
        <f>BA19</f>
        <v>0</v>
      </c>
      <c r="BB20" s="1">
        <f>BB19</f>
        <v>0</v>
      </c>
      <c r="BC20" s="1">
        <f>BC19</f>
        <v>0</v>
      </c>
      <c r="BD20" s="1">
        <f>BD19</f>
        <v>0</v>
      </c>
      <c r="BE20" s="1">
        <f>BE19</f>
        <v>1</v>
      </c>
      <c r="BF20" s="1">
        <f>BF19</f>
        <v>0</v>
      </c>
      <c r="BG20" s="1">
        <f>BG19</f>
        <v>0</v>
      </c>
      <c r="BH20" s="1">
        <f>BH19</f>
        <v>0</v>
      </c>
      <c r="BI20" s="1">
        <f>BI19</f>
        <v>0</v>
      </c>
      <c r="BJ20" s="1">
        <f>BJ19</f>
        <v>0</v>
      </c>
      <c r="BK20" s="1">
        <f>BK19</f>
        <v>0</v>
      </c>
      <c r="BL20" s="1">
        <f>BL19</f>
        <v>0</v>
      </c>
      <c r="BM20" s="1">
        <f>BM19</f>
        <v>0</v>
      </c>
      <c r="BN20" s="1">
        <f>BN19</f>
        <v>0</v>
      </c>
      <c r="BO20" s="1">
        <f>BO19</f>
        <v>0</v>
      </c>
      <c r="BP20" s="1">
        <f>BP19</f>
        <v>0</v>
      </c>
      <c r="BQ20" s="1">
        <f>BQ19</f>
        <v>0</v>
      </c>
      <c r="BR20" s="1">
        <f>BR19</f>
        <v>0</v>
      </c>
      <c r="BS20" s="1">
        <f>BS19</f>
        <v>0</v>
      </c>
      <c r="BT20" s="1">
        <f>BT19</f>
        <v>0</v>
      </c>
      <c r="BU20" s="1">
        <f>BU19</f>
        <v>0</v>
      </c>
      <c r="BV20" s="1">
        <f>BV19</f>
        <v>0</v>
      </c>
      <c r="BW20" s="1">
        <f>BW19</f>
        <v>0</v>
      </c>
      <c r="BX20" s="1">
        <f>BX19</f>
        <v>0</v>
      </c>
      <c r="BY20" s="1">
        <f>AY20*X20</f>
        <v>0</v>
      </c>
      <c r="BZ20" s="1">
        <f>AZ20*Y20</f>
        <v>0</v>
      </c>
      <c r="CA20" s="1">
        <f>BA20*Z20</f>
        <v>0</v>
      </c>
      <c r="CB20" s="1">
        <f>BB20*AA20</f>
        <v>0</v>
      </c>
      <c r="CC20" s="1">
        <f>BC20*AB20</f>
        <v>0</v>
      </c>
      <c r="CD20" s="1">
        <f>BD20*AC20</f>
        <v>0</v>
      </c>
      <c r="CE20" s="1">
        <f>BE20*AD20</f>
        <v>13.79738</v>
      </c>
      <c r="CF20" s="1">
        <f>BF20*AE20</f>
        <v>0</v>
      </c>
      <c r="CG20" s="1">
        <f>BG20*AF20</f>
        <v>0</v>
      </c>
      <c r="CH20" s="1">
        <f>BH20*AG20</f>
        <v>0</v>
      </c>
      <c r="CI20" s="1">
        <f>BI20*AH20</f>
        <v>0</v>
      </c>
      <c r="CJ20" s="1">
        <f>BJ20*AI20</f>
        <v>0</v>
      </c>
      <c r="CK20" s="1">
        <f>BK20*AJ20</f>
        <v>0</v>
      </c>
      <c r="CL20" s="1">
        <f>BL20*AK20</f>
        <v>0</v>
      </c>
      <c r="CM20" s="1">
        <f>BM20*AL20</f>
        <v>0</v>
      </c>
      <c r="CN20" s="1">
        <f>BN20*AM20</f>
        <v>0</v>
      </c>
      <c r="CO20" s="1">
        <f>BO20*AN20</f>
        <v>0</v>
      </c>
      <c r="CP20" s="1">
        <f>BP20*AO20</f>
        <v>0</v>
      </c>
      <c r="CQ20" s="1">
        <f>BQ20*AP20</f>
        <v>0</v>
      </c>
      <c r="CR20" s="1">
        <f>BR20*AQ20</f>
        <v>0</v>
      </c>
      <c r="CS20" s="1">
        <f>BS20*AR20</f>
        <v>0</v>
      </c>
      <c r="CT20" s="1">
        <f>BT20*AS20</f>
        <v>0</v>
      </c>
      <c r="CU20" s="1">
        <f>BU20*AT20</f>
        <v>0</v>
      </c>
      <c r="CV20" s="1">
        <f>BV20*AU20</f>
        <v>0</v>
      </c>
      <c r="CW20" s="1">
        <f>BW20*AV20</f>
        <v>0</v>
      </c>
      <c r="CX20" s="1">
        <f>BX20*AW20</f>
        <v>0</v>
      </c>
    </row>
    <row r="21" spans="1:102" ht="12">
      <c r="A21" t="s">
        <v>131</v>
      </c>
      <c r="B21" s="18">
        <f>C21</f>
        <v>5.56983678744</v>
      </c>
      <c r="C21" s="18">
        <f>C18</f>
        <v>5.56983678744</v>
      </c>
      <c r="D21" s="35">
        <f>E14+E15+E16+E17</f>
        <v>45</v>
      </c>
      <c r="E21" s="23" t="s">
        <v>125</v>
      </c>
      <c r="F21" s="15"/>
      <c r="G21" s="15"/>
      <c r="H21" s="15"/>
      <c r="I21" s="15"/>
      <c r="K21" t="b">
        <f>J5&gt;=150</f>
        <v>1</v>
      </c>
      <c r="L21" t="s">
        <v>132</v>
      </c>
      <c r="M21" t="b">
        <f>J5&lt;200</f>
        <v>0</v>
      </c>
      <c r="N21" t="s">
        <v>133</v>
      </c>
      <c r="O21" s="18">
        <f>K21*M21</f>
        <v>0</v>
      </c>
      <c r="P21" s="1">
        <f>W22</f>
        <v>11.0379</v>
      </c>
      <c r="Q21" s="1">
        <f>O21*P21</f>
        <v>0</v>
      </c>
      <c r="R21" s="1">
        <f>O20*P21</f>
        <v>0</v>
      </c>
      <c r="S21" s="18">
        <f>O21*150</f>
        <v>0</v>
      </c>
      <c r="T21" s="18">
        <f>O21*200</f>
        <v>0</v>
      </c>
      <c r="V21">
        <v>100000</v>
      </c>
      <c r="W21" s="1">
        <f>SUM(BY21:CX21)</f>
        <v>12.26434</v>
      </c>
      <c r="X21" s="1">
        <v>7.66521</v>
      </c>
      <c r="Y21" s="1">
        <v>9.19825</v>
      </c>
      <c r="Z21" s="1">
        <v>12.26434</v>
      </c>
      <c r="AA21" s="1">
        <v>15.33042</v>
      </c>
      <c r="AB21" s="1">
        <v>21.46259</v>
      </c>
      <c r="AC21" s="1">
        <v>9.96477</v>
      </c>
      <c r="AD21" s="1">
        <v>12.26434</v>
      </c>
      <c r="AE21" s="1">
        <v>7.66521</v>
      </c>
      <c r="AF21" s="1">
        <v>9.19825</v>
      </c>
      <c r="AG21" s="1">
        <v>13.79738</v>
      </c>
      <c r="AH21" s="1">
        <v>10.73129</v>
      </c>
      <c r="AI21" s="1">
        <v>11.49782</v>
      </c>
      <c r="AJ21" s="1">
        <v>15.33042</v>
      </c>
      <c r="AK21" s="1">
        <v>9.19825</v>
      </c>
      <c r="AL21" s="1">
        <v>7.66521</v>
      </c>
      <c r="AM21" s="1">
        <v>6.13217</v>
      </c>
      <c r="AN21" s="1">
        <v>6.89869</v>
      </c>
      <c r="AO21" s="1">
        <v>4.59913</v>
      </c>
      <c r="AP21" s="1">
        <v>8.43173</v>
      </c>
      <c r="AQ21" s="1">
        <v>4.59913</v>
      </c>
      <c r="AR21" s="1">
        <v>5.36565</v>
      </c>
      <c r="AS21" s="1">
        <v>6.13217</v>
      </c>
      <c r="AT21" s="1">
        <v>7.66521</v>
      </c>
      <c r="AU21" s="1">
        <v>5.82556</v>
      </c>
      <c r="AV21" s="1">
        <v>10.42469</v>
      </c>
      <c r="AW21" s="1">
        <v>12.26434</v>
      </c>
      <c r="AX21" s="2">
        <v>100000</v>
      </c>
      <c r="AY21" s="1">
        <f>AY20</f>
        <v>0</v>
      </c>
      <c r="AZ21" s="1">
        <f>AZ20</f>
        <v>0</v>
      </c>
      <c r="BA21" s="1">
        <f>BA20</f>
        <v>0</v>
      </c>
      <c r="BB21" s="1">
        <f>BB20</f>
        <v>0</v>
      </c>
      <c r="BC21" s="1">
        <f>BC20</f>
        <v>0</v>
      </c>
      <c r="BD21" s="1">
        <f>BD20</f>
        <v>0</v>
      </c>
      <c r="BE21" s="1">
        <f>BE20</f>
        <v>1</v>
      </c>
      <c r="BF21" s="1">
        <f>BF20</f>
        <v>0</v>
      </c>
      <c r="BG21" s="1">
        <f>BG20</f>
        <v>0</v>
      </c>
      <c r="BH21" s="1">
        <f>BH20</f>
        <v>0</v>
      </c>
      <c r="BI21" s="1">
        <f>BI20</f>
        <v>0</v>
      </c>
      <c r="BJ21" s="1">
        <f>BJ20</f>
        <v>0</v>
      </c>
      <c r="BK21" s="1">
        <f>BK20</f>
        <v>0</v>
      </c>
      <c r="BL21" s="1">
        <f>BL20</f>
        <v>0</v>
      </c>
      <c r="BM21" s="1">
        <f>BM20</f>
        <v>0</v>
      </c>
      <c r="BN21" s="1">
        <f>BN20</f>
        <v>0</v>
      </c>
      <c r="BO21" s="1">
        <f>BO20</f>
        <v>0</v>
      </c>
      <c r="BP21" s="1">
        <f>BP20</f>
        <v>0</v>
      </c>
      <c r="BQ21" s="1">
        <f>BQ20</f>
        <v>0</v>
      </c>
      <c r="BR21" s="1">
        <f>BR20</f>
        <v>0</v>
      </c>
      <c r="BS21" s="1">
        <f>BS20</f>
        <v>0</v>
      </c>
      <c r="BT21" s="1">
        <f>BT20</f>
        <v>0</v>
      </c>
      <c r="BU21" s="1">
        <f>BU20</f>
        <v>0</v>
      </c>
      <c r="BV21" s="1">
        <f>BV20</f>
        <v>0</v>
      </c>
      <c r="BW21" s="1">
        <f>BW20</f>
        <v>0</v>
      </c>
      <c r="BX21" s="1">
        <f>BX20</f>
        <v>0</v>
      </c>
      <c r="BY21" s="1">
        <f>AY21*X21</f>
        <v>0</v>
      </c>
      <c r="BZ21" s="1">
        <f>AZ21*Y21</f>
        <v>0</v>
      </c>
      <c r="CA21" s="1">
        <f>BA21*Z21</f>
        <v>0</v>
      </c>
      <c r="CB21" s="1">
        <f>BB21*AA21</f>
        <v>0</v>
      </c>
      <c r="CC21" s="1">
        <f>BC21*AB21</f>
        <v>0</v>
      </c>
      <c r="CD21" s="1">
        <f>BD21*AC21</f>
        <v>0</v>
      </c>
      <c r="CE21" s="1">
        <f>BE21*AD21</f>
        <v>12.26434</v>
      </c>
      <c r="CF21" s="1">
        <f>BF21*AE21</f>
        <v>0</v>
      </c>
      <c r="CG21" s="1">
        <f>BG21*AF21</f>
        <v>0</v>
      </c>
      <c r="CH21" s="1">
        <f>BH21*AG21</f>
        <v>0</v>
      </c>
      <c r="CI21" s="1">
        <f>BI21*AH21</f>
        <v>0</v>
      </c>
      <c r="CJ21" s="1">
        <f>BJ21*AI21</f>
        <v>0</v>
      </c>
      <c r="CK21" s="1">
        <f>BK21*AJ21</f>
        <v>0</v>
      </c>
      <c r="CL21" s="1">
        <f>BL21*AK21</f>
        <v>0</v>
      </c>
      <c r="CM21" s="1">
        <f>BM21*AL21</f>
        <v>0</v>
      </c>
      <c r="CN21" s="1">
        <f>BN21*AM21</f>
        <v>0</v>
      </c>
      <c r="CO21" s="1">
        <f>BO21*AN21</f>
        <v>0</v>
      </c>
      <c r="CP21" s="1">
        <f>BP21*AO21</f>
        <v>0</v>
      </c>
      <c r="CQ21" s="1">
        <f>BQ21*AP21</f>
        <v>0</v>
      </c>
      <c r="CR21" s="1">
        <f>BR21*AQ21</f>
        <v>0</v>
      </c>
      <c r="CS21" s="1">
        <f>BS21*AR21</f>
        <v>0</v>
      </c>
      <c r="CT21" s="1">
        <f>BT21*AS21</f>
        <v>0</v>
      </c>
      <c r="CU21" s="1">
        <f>BU21*AT21</f>
        <v>0</v>
      </c>
      <c r="CV21" s="1">
        <f>BV21*AU21</f>
        <v>0</v>
      </c>
      <c r="CW21" s="1">
        <f>BW21*AV21</f>
        <v>0</v>
      </c>
      <c r="CX21" s="1">
        <f>BX21*AW21</f>
        <v>0</v>
      </c>
    </row>
    <row r="22" spans="1:102" ht="12">
      <c r="A22" s="33" t="s">
        <v>134</v>
      </c>
      <c r="B22" s="28">
        <f>C22/$H$4</f>
        <v>12632.38983391392</v>
      </c>
      <c r="C22" s="34">
        <f>C20*C21*D21/10000</f>
        <v>24459717.463712506</v>
      </c>
      <c r="F22" s="37"/>
      <c r="G22" s="37"/>
      <c r="H22" s="37"/>
      <c r="J22" s="9" t="b">
        <f>E18&lt;81</f>
        <v>0</v>
      </c>
      <c r="K22" t="b">
        <f>J5&gt;=200</f>
        <v>1</v>
      </c>
      <c r="L22" t="s">
        <v>135</v>
      </c>
      <c r="M22" t="b">
        <f>J5&lt;250</f>
        <v>0</v>
      </c>
      <c r="N22" t="s">
        <v>136</v>
      </c>
      <c r="O22" s="18">
        <f>K22*M22</f>
        <v>0</v>
      </c>
      <c r="P22" s="1">
        <f>W23</f>
        <v>9.96477</v>
      </c>
      <c r="Q22" s="1">
        <f>O22*P22</f>
        <v>0</v>
      </c>
      <c r="R22" s="1">
        <f>O21*P22</f>
        <v>0</v>
      </c>
      <c r="S22" s="18">
        <f>O22*200</f>
        <v>0</v>
      </c>
      <c r="T22" s="18">
        <f>O22*250</f>
        <v>0</v>
      </c>
      <c r="V22">
        <v>150000</v>
      </c>
      <c r="W22" s="1">
        <f>SUM(BY22:CX22)</f>
        <v>11.0379</v>
      </c>
      <c r="X22" s="1">
        <v>6.74532</v>
      </c>
      <c r="Y22" s="1">
        <v>7.97182</v>
      </c>
      <c r="Z22" s="1">
        <v>11.0379</v>
      </c>
      <c r="AA22" s="1">
        <v>13.33747</v>
      </c>
      <c r="AB22" s="1">
        <v>19.00972</v>
      </c>
      <c r="AC22" s="1">
        <v>8.73834</v>
      </c>
      <c r="AD22" s="1">
        <v>11.0379</v>
      </c>
      <c r="AE22" s="1">
        <v>6.74538</v>
      </c>
      <c r="AF22" s="1">
        <v>7.66521</v>
      </c>
      <c r="AG22" s="1">
        <v>11.95773</v>
      </c>
      <c r="AH22" s="1">
        <v>9.35156</v>
      </c>
      <c r="AI22" s="1">
        <v>9.96477</v>
      </c>
      <c r="AJ22" s="1">
        <v>13.49077</v>
      </c>
      <c r="AK22" s="1">
        <v>8.43175</v>
      </c>
      <c r="AL22" s="1">
        <v>6.74538</v>
      </c>
      <c r="AM22" s="1">
        <v>5.51895</v>
      </c>
      <c r="AN22" s="1">
        <f>(AN21+AN23)/2</f>
        <v>5.74891</v>
      </c>
      <c r="AO22" s="1">
        <v>4.29252</v>
      </c>
      <c r="AP22" s="1">
        <v>7.66521</v>
      </c>
      <c r="AQ22" s="1">
        <v>4.29252</v>
      </c>
      <c r="AR22" s="1">
        <f>(AR21+AR23)/2</f>
        <v>5.17402</v>
      </c>
      <c r="AS22" s="1">
        <f>(AS21+AS23)/2</f>
        <v>5.9022125</v>
      </c>
      <c r="AT22" s="1">
        <v>6.43878</v>
      </c>
      <c r="AU22" s="1">
        <v>5.21234</v>
      </c>
      <c r="AV22" s="1">
        <v>8.89164</v>
      </c>
      <c r="AW22" s="1">
        <v>10.27138</v>
      </c>
      <c r="AX22" s="2">
        <v>150000</v>
      </c>
      <c r="AY22" s="1">
        <f>AY21</f>
        <v>0</v>
      </c>
      <c r="AZ22" s="1">
        <f>AZ21</f>
        <v>0</v>
      </c>
      <c r="BA22" s="1">
        <f>BA21</f>
        <v>0</v>
      </c>
      <c r="BB22" s="1">
        <f>BB21</f>
        <v>0</v>
      </c>
      <c r="BC22" s="1">
        <f>BC21</f>
        <v>0</v>
      </c>
      <c r="BD22" s="1">
        <f>BD21</f>
        <v>0</v>
      </c>
      <c r="BE22" s="1">
        <f>BE21</f>
        <v>1</v>
      </c>
      <c r="BF22" s="1">
        <f>BF21</f>
        <v>0</v>
      </c>
      <c r="BG22" s="1">
        <f>BG21</f>
        <v>0</v>
      </c>
      <c r="BH22" s="1">
        <f>BH21</f>
        <v>0</v>
      </c>
      <c r="BI22" s="1">
        <f>BI21</f>
        <v>0</v>
      </c>
      <c r="BJ22" s="1">
        <f>BJ21</f>
        <v>0</v>
      </c>
      <c r="BK22" s="1">
        <f>BK21</f>
        <v>0</v>
      </c>
      <c r="BL22" s="1">
        <f>BL21</f>
        <v>0</v>
      </c>
      <c r="BM22" s="1">
        <f>BM21</f>
        <v>0</v>
      </c>
      <c r="BN22" s="1">
        <f>BN21</f>
        <v>0</v>
      </c>
      <c r="BO22" s="1">
        <f>BO21</f>
        <v>0</v>
      </c>
      <c r="BP22" s="1">
        <f>BP21</f>
        <v>0</v>
      </c>
      <c r="BQ22" s="1">
        <f>BQ21</f>
        <v>0</v>
      </c>
      <c r="BR22" s="1">
        <f>BR21</f>
        <v>0</v>
      </c>
      <c r="BS22" s="1">
        <f>BS21</f>
        <v>0</v>
      </c>
      <c r="BT22" s="1">
        <f>BT21</f>
        <v>0</v>
      </c>
      <c r="BU22" s="1">
        <f>BU21</f>
        <v>0</v>
      </c>
      <c r="BV22" s="1">
        <f>BV21</f>
        <v>0</v>
      </c>
      <c r="BW22" s="1">
        <f>BW21</f>
        <v>0</v>
      </c>
      <c r="BX22" s="1">
        <f>BX21</f>
        <v>0</v>
      </c>
      <c r="BY22" s="1">
        <f>AY22*X22</f>
        <v>0</v>
      </c>
      <c r="BZ22" s="1">
        <f>AZ22*Y22</f>
        <v>0</v>
      </c>
      <c r="CA22" s="1">
        <f>BA22*Z22</f>
        <v>0</v>
      </c>
      <c r="CB22" s="1">
        <f>BB22*AA22</f>
        <v>0</v>
      </c>
      <c r="CC22" s="1">
        <f>BC22*AB22</f>
        <v>0</v>
      </c>
      <c r="CD22" s="1">
        <f>BD22*AC22</f>
        <v>0</v>
      </c>
      <c r="CE22" s="1">
        <f>BE22*AD22</f>
        <v>11.0379</v>
      </c>
      <c r="CF22" s="1">
        <f>BF22*AE22</f>
        <v>0</v>
      </c>
      <c r="CG22" s="1">
        <f>BG22*AF22</f>
        <v>0</v>
      </c>
      <c r="CH22" s="1">
        <f>BH22*AG22</f>
        <v>0</v>
      </c>
      <c r="CI22" s="1">
        <f>BI22*AH22</f>
        <v>0</v>
      </c>
      <c r="CJ22" s="1">
        <f>BJ22*AI22</f>
        <v>0</v>
      </c>
      <c r="CK22" s="1">
        <f>BK22*AJ22</f>
        <v>0</v>
      </c>
      <c r="CL22" s="1">
        <f>BL22*AK22</f>
        <v>0</v>
      </c>
      <c r="CM22" s="1">
        <f>BM22*AL22</f>
        <v>0</v>
      </c>
      <c r="CN22" s="1">
        <f>BN22*AM22</f>
        <v>0</v>
      </c>
      <c r="CO22" s="1">
        <f>BO22*AN22</f>
        <v>0</v>
      </c>
      <c r="CP22" s="1">
        <f>BP22*AO22</f>
        <v>0</v>
      </c>
      <c r="CQ22" s="1">
        <f>BQ22*AP22</f>
        <v>0</v>
      </c>
      <c r="CR22" s="1">
        <f>BR22*AQ22</f>
        <v>0</v>
      </c>
      <c r="CS22" s="1">
        <f>BS22*AR22</f>
        <v>0</v>
      </c>
      <c r="CT22" s="1">
        <f>BT22*AS22</f>
        <v>0</v>
      </c>
      <c r="CU22" s="1">
        <f>BU22*AT22</f>
        <v>0</v>
      </c>
      <c r="CV22" s="1">
        <f>BV22*AU22</f>
        <v>0</v>
      </c>
      <c r="CW22" s="1">
        <f>BW22*AV22</f>
        <v>0</v>
      </c>
      <c r="CX22" s="1">
        <f>BX22*AW22</f>
        <v>0</v>
      </c>
    </row>
    <row r="23" spans="1:102" ht="12">
      <c r="A23" s="23" t="s">
        <v>137</v>
      </c>
      <c r="B23" s="28">
        <f>C23/$H$4</f>
        <v>28071.977408697603</v>
      </c>
      <c r="C23" s="34">
        <f>C19+C22</f>
        <v>54354927.697138906</v>
      </c>
      <c r="J23" t="b">
        <f>E18&gt;80</f>
        <v>1</v>
      </c>
      <c r="K23" t="b">
        <f>J5&gt;=250</f>
        <v>1</v>
      </c>
      <c r="L23" t="s">
        <v>138</v>
      </c>
      <c r="M23" t="b">
        <f>J5&lt;300</f>
        <v>0</v>
      </c>
      <c r="N23" t="s">
        <v>139</v>
      </c>
      <c r="O23" s="18">
        <f>K23*M23</f>
        <v>0</v>
      </c>
      <c r="P23" s="1">
        <f>W24</f>
        <v>9.04495</v>
      </c>
      <c r="Q23" s="1">
        <f>O23*P23</f>
        <v>0</v>
      </c>
      <c r="R23" s="1">
        <f>O22*P23</f>
        <v>0</v>
      </c>
      <c r="S23" s="18">
        <f>O23*250</f>
        <v>0</v>
      </c>
      <c r="T23" s="18">
        <f>O23*300</f>
        <v>0</v>
      </c>
      <c r="V23">
        <v>200000</v>
      </c>
      <c r="W23" s="1">
        <f>SUM(BY23:CX23)</f>
        <v>9.96477</v>
      </c>
      <c r="X23" s="1">
        <v>6.13217</v>
      </c>
      <c r="Y23" s="1">
        <v>7.3586</v>
      </c>
      <c r="Z23" s="1">
        <v>9.96477</v>
      </c>
      <c r="AA23" s="1">
        <v>11.80442</v>
      </c>
      <c r="AB23" s="1">
        <v>16.86346</v>
      </c>
      <c r="AC23" s="1">
        <v>7.81851</v>
      </c>
      <c r="AD23" s="1">
        <v>9.96477</v>
      </c>
      <c r="AE23" s="1">
        <v>5.97886</v>
      </c>
      <c r="AF23" s="1">
        <v>6.43878</v>
      </c>
      <c r="AG23" s="1">
        <v>10.11808</v>
      </c>
      <c r="AH23" s="1">
        <v>8.12515</v>
      </c>
      <c r="AI23" s="1">
        <v>8.73834</v>
      </c>
      <c r="AJ23" s="1">
        <v>11.95773</v>
      </c>
      <c r="AK23" s="1">
        <v>7.81851</v>
      </c>
      <c r="AL23" s="1">
        <v>6.13217</v>
      </c>
      <c r="AM23" s="1">
        <v>5.05904</v>
      </c>
      <c r="AN23" s="1">
        <v>4.59913</v>
      </c>
      <c r="AO23" s="1">
        <v>4.13921</v>
      </c>
      <c r="AP23" s="1">
        <v>7.3586</v>
      </c>
      <c r="AQ23" s="1">
        <v>4.13921</v>
      </c>
      <c r="AR23" s="1">
        <f>(AR21+AR25)/2</f>
        <v>4.98239</v>
      </c>
      <c r="AS23" s="1">
        <f>(AS21+AS25)/2</f>
        <v>5.672255</v>
      </c>
      <c r="AT23" s="1">
        <v>6.13217</v>
      </c>
      <c r="AU23" s="1">
        <v>4.90573</v>
      </c>
      <c r="AV23" s="1">
        <v>8.27843</v>
      </c>
      <c r="AW23" s="1">
        <v>9.65816</v>
      </c>
      <c r="AX23" s="2">
        <v>200000</v>
      </c>
      <c r="AY23" s="1">
        <f>AY22</f>
        <v>0</v>
      </c>
      <c r="AZ23" s="1">
        <f>AZ22</f>
        <v>0</v>
      </c>
      <c r="BA23" s="1">
        <f>BA22</f>
        <v>0</v>
      </c>
      <c r="BB23" s="1">
        <f>BB22</f>
        <v>0</v>
      </c>
      <c r="BC23" s="1">
        <f>BC22</f>
        <v>0</v>
      </c>
      <c r="BD23" s="1">
        <f>BD22</f>
        <v>0</v>
      </c>
      <c r="BE23" s="1">
        <f>BE22</f>
        <v>1</v>
      </c>
      <c r="BF23" s="1">
        <f>BF22</f>
        <v>0</v>
      </c>
      <c r="BG23" s="1">
        <f>BG22</f>
        <v>0</v>
      </c>
      <c r="BH23" s="1">
        <f>BH22</f>
        <v>0</v>
      </c>
      <c r="BI23" s="1">
        <f>BI22</f>
        <v>0</v>
      </c>
      <c r="BJ23" s="1">
        <f>BJ22</f>
        <v>0</v>
      </c>
      <c r="BK23" s="1">
        <f>BK22</f>
        <v>0</v>
      </c>
      <c r="BL23" s="1">
        <f>BL22</f>
        <v>0</v>
      </c>
      <c r="BM23" s="1">
        <f>BM22</f>
        <v>0</v>
      </c>
      <c r="BN23" s="1">
        <f>BN22</f>
        <v>0</v>
      </c>
      <c r="BO23" s="1">
        <f>BO22</f>
        <v>0</v>
      </c>
      <c r="BP23" s="1">
        <f>BP22</f>
        <v>0</v>
      </c>
      <c r="BQ23" s="1">
        <f>BQ22</f>
        <v>0</v>
      </c>
      <c r="BR23" s="1">
        <f>BR22</f>
        <v>0</v>
      </c>
      <c r="BS23" s="1">
        <f>BS22</f>
        <v>0</v>
      </c>
      <c r="BT23" s="1">
        <f>BT22</f>
        <v>0</v>
      </c>
      <c r="BU23" s="1">
        <f>BU22</f>
        <v>0</v>
      </c>
      <c r="BV23" s="1">
        <f>BV22</f>
        <v>0</v>
      </c>
      <c r="BW23" s="1">
        <f>BW22</f>
        <v>0</v>
      </c>
      <c r="BX23" s="1">
        <f>BX22</f>
        <v>0</v>
      </c>
      <c r="BY23" s="1">
        <f>AY23*X23</f>
        <v>0</v>
      </c>
      <c r="BZ23" s="1">
        <f>AZ23*Y23</f>
        <v>0</v>
      </c>
      <c r="CA23" s="1">
        <f>BA23*Z23</f>
        <v>0</v>
      </c>
      <c r="CB23" s="1">
        <f>BB23*AA23</f>
        <v>0</v>
      </c>
      <c r="CC23" s="1">
        <f>BC23*AB23</f>
        <v>0</v>
      </c>
      <c r="CD23" s="1">
        <f>BD23*AC23</f>
        <v>0</v>
      </c>
      <c r="CE23" s="1">
        <f>BE23*AD23</f>
        <v>9.96477</v>
      </c>
      <c r="CF23" s="1">
        <f>BF23*AE23</f>
        <v>0</v>
      </c>
      <c r="CG23" s="1">
        <f>BG23*AF23</f>
        <v>0</v>
      </c>
      <c r="CH23" s="1">
        <f>BH23*AG23</f>
        <v>0</v>
      </c>
      <c r="CI23" s="1">
        <f>BI23*AH23</f>
        <v>0</v>
      </c>
      <c r="CJ23" s="1">
        <f>BJ23*AI23</f>
        <v>0</v>
      </c>
      <c r="CK23" s="1">
        <f>BK23*AJ23</f>
        <v>0</v>
      </c>
      <c r="CL23" s="1">
        <f>BL23*AK23</f>
        <v>0</v>
      </c>
      <c r="CM23" s="1">
        <f>BM23*AL23</f>
        <v>0</v>
      </c>
      <c r="CN23" s="1">
        <f>BN23*AM23</f>
        <v>0</v>
      </c>
      <c r="CO23" s="1">
        <f>BO23*AN23</f>
        <v>0</v>
      </c>
      <c r="CP23" s="1">
        <f>BP23*AO23</f>
        <v>0</v>
      </c>
      <c r="CQ23" s="1">
        <f>BQ23*AP23</f>
        <v>0</v>
      </c>
      <c r="CR23" s="1">
        <f>BR23*AQ23</f>
        <v>0</v>
      </c>
      <c r="CS23" s="1">
        <f>BS23*AR23</f>
        <v>0</v>
      </c>
      <c r="CT23" s="1">
        <f>BT23*AS23</f>
        <v>0</v>
      </c>
      <c r="CU23" s="1">
        <f>BU23*AT23</f>
        <v>0</v>
      </c>
      <c r="CV23" s="1">
        <f>BV23*AU23</f>
        <v>0</v>
      </c>
      <c r="CW23" s="1">
        <f>BW23*AV23</f>
        <v>0</v>
      </c>
      <c r="CX23" s="1">
        <f>BX23*AW23</f>
        <v>0</v>
      </c>
    </row>
    <row r="24" spans="1:105" ht="12">
      <c r="A24" s="23" t="s">
        <v>140</v>
      </c>
      <c r="B24" s="19">
        <f>C24/$H$4</f>
        <v>0</v>
      </c>
      <c r="C24" s="15">
        <f>C23*D24/100</f>
        <v>0</v>
      </c>
      <c r="D24" s="38">
        <v>0</v>
      </c>
      <c r="E24" s="39" t="s">
        <v>141</v>
      </c>
      <c r="G24" s="39" t="s">
        <v>142</v>
      </c>
      <c r="J24" t="b">
        <f>E18&lt;100</f>
        <v>0</v>
      </c>
      <c r="K24" t="b">
        <f>J5&gt;=300</f>
        <v>1</v>
      </c>
      <c r="L24" t="s">
        <v>143</v>
      </c>
      <c r="M24" t="b">
        <f>J5&lt;400</f>
        <v>0</v>
      </c>
      <c r="N24" t="s">
        <v>144</v>
      </c>
      <c r="O24" s="18">
        <f>K24*M24</f>
        <v>0</v>
      </c>
      <c r="P24" s="1">
        <f>W25</f>
        <v>8.27843</v>
      </c>
      <c r="Q24" s="1">
        <f>O24*P24</f>
        <v>0</v>
      </c>
      <c r="R24" s="1">
        <f>O23*P24</f>
        <v>0</v>
      </c>
      <c r="S24" s="18">
        <f>O24*300</f>
        <v>0</v>
      </c>
      <c r="T24" s="18">
        <f>O24*400</f>
        <v>0</v>
      </c>
      <c r="U24" s="23"/>
      <c r="V24">
        <v>250000</v>
      </c>
      <c r="W24" s="1">
        <f>SUM(BY24:CX24)</f>
        <v>9.04495</v>
      </c>
      <c r="X24" s="1">
        <v>5.82556</v>
      </c>
      <c r="Y24" s="1">
        <v>6.74532</v>
      </c>
      <c r="Z24" s="1">
        <v>9.04495</v>
      </c>
      <c r="AA24" s="1">
        <v>10.57799</v>
      </c>
      <c r="AB24" s="1">
        <v>15.02381</v>
      </c>
      <c r="AC24" s="1">
        <v>7.2053</v>
      </c>
      <c r="AD24" s="1">
        <v>9.04495</v>
      </c>
      <c r="AE24" s="1">
        <v>5.36565</v>
      </c>
      <c r="AF24" s="1">
        <v>6.28547</v>
      </c>
      <c r="AG24" s="1">
        <v>8.58504</v>
      </c>
      <c r="AH24" s="1">
        <v>7.2053</v>
      </c>
      <c r="AI24" s="1">
        <v>7.81851</v>
      </c>
      <c r="AJ24" s="1">
        <v>10.73129</v>
      </c>
      <c r="AK24" s="1">
        <v>7.3586</v>
      </c>
      <c r="AL24" s="1">
        <v>5.82556</v>
      </c>
      <c r="AM24" s="1">
        <v>4.75243</v>
      </c>
      <c r="AN24" s="1">
        <v>4.59913</v>
      </c>
      <c r="AO24" s="1">
        <v>3.98591</v>
      </c>
      <c r="AP24" s="1">
        <v>7.05199</v>
      </c>
      <c r="AQ24" s="1">
        <v>3.98591</v>
      </c>
      <c r="AR24" s="1">
        <f>(AR23+AR25)/2</f>
        <v>4.79076</v>
      </c>
      <c r="AS24" s="1">
        <f>(AS23+AS25)/2</f>
        <v>5.4422975000000005</v>
      </c>
      <c r="AT24" s="1">
        <v>5.82556</v>
      </c>
      <c r="AU24" s="1">
        <v>4.59913</v>
      </c>
      <c r="AV24" s="1">
        <v>7.81851</v>
      </c>
      <c r="AW24" s="1">
        <v>9.04495</v>
      </c>
      <c r="AX24" s="2">
        <v>250000</v>
      </c>
      <c r="AY24" s="1">
        <f>AY23</f>
        <v>0</v>
      </c>
      <c r="AZ24" s="1">
        <f>AZ23</f>
        <v>0</v>
      </c>
      <c r="BA24" s="1">
        <f>BA23</f>
        <v>0</v>
      </c>
      <c r="BB24" s="1">
        <f>BB23</f>
        <v>0</v>
      </c>
      <c r="BC24" s="1">
        <f>BC23</f>
        <v>0</v>
      </c>
      <c r="BD24" s="1">
        <f>BD23</f>
        <v>0</v>
      </c>
      <c r="BE24" s="1">
        <f>BE23</f>
        <v>1</v>
      </c>
      <c r="BF24" s="1">
        <f>BF23</f>
        <v>0</v>
      </c>
      <c r="BG24" s="1">
        <f>BG23</f>
        <v>0</v>
      </c>
      <c r="BH24" s="1">
        <f>BH23</f>
        <v>0</v>
      </c>
      <c r="BI24" s="1">
        <f>BI23</f>
        <v>0</v>
      </c>
      <c r="BJ24" s="1">
        <f>BJ23</f>
        <v>0</v>
      </c>
      <c r="BK24" s="1">
        <f>BK23</f>
        <v>0</v>
      </c>
      <c r="BL24" s="1">
        <f>BL23</f>
        <v>0</v>
      </c>
      <c r="BM24" s="1">
        <f>BM23</f>
        <v>0</v>
      </c>
      <c r="BN24" s="1">
        <f>BN23</f>
        <v>0</v>
      </c>
      <c r="BO24" s="1">
        <f>BO23</f>
        <v>0</v>
      </c>
      <c r="BP24" s="1">
        <f>BP23</f>
        <v>0</v>
      </c>
      <c r="BQ24" s="1">
        <f>BQ23</f>
        <v>0</v>
      </c>
      <c r="BR24" s="1">
        <f>BR23</f>
        <v>0</v>
      </c>
      <c r="BS24" s="1">
        <f>BS23</f>
        <v>0</v>
      </c>
      <c r="BT24" s="1">
        <f>BT23</f>
        <v>0</v>
      </c>
      <c r="BU24" s="1">
        <f>BU23</f>
        <v>0</v>
      </c>
      <c r="BV24" s="1">
        <f>BV23</f>
        <v>0</v>
      </c>
      <c r="BW24" s="1">
        <f>BW23</f>
        <v>0</v>
      </c>
      <c r="BX24" s="1">
        <f>BX23</f>
        <v>0</v>
      </c>
      <c r="BY24" s="1">
        <f>AY24*X24</f>
        <v>0</v>
      </c>
      <c r="BZ24" s="1">
        <f>AZ24*Y24</f>
        <v>0</v>
      </c>
      <c r="CA24" s="1">
        <f>BA24*Z24</f>
        <v>0</v>
      </c>
      <c r="CB24" s="1">
        <f>BB24*AA24</f>
        <v>0</v>
      </c>
      <c r="CC24" s="1">
        <f>BC24*AB24</f>
        <v>0</v>
      </c>
      <c r="CD24" s="1">
        <f>BD24*AC24</f>
        <v>0</v>
      </c>
      <c r="CE24" s="1">
        <f>BE24*AD24</f>
        <v>9.04495</v>
      </c>
      <c r="CF24" s="1">
        <f>BF24*AE24</f>
        <v>0</v>
      </c>
      <c r="CG24" s="1">
        <f>BG24*AF24</f>
        <v>0</v>
      </c>
      <c r="CH24" s="1">
        <f>BH24*AG24</f>
        <v>0</v>
      </c>
      <c r="CI24" s="1">
        <f>BI24*AH24</f>
        <v>0</v>
      </c>
      <c r="CJ24" s="1">
        <f>BJ24*AI24</f>
        <v>0</v>
      </c>
      <c r="CK24" s="1">
        <f>BK24*AJ24</f>
        <v>0</v>
      </c>
      <c r="CL24" s="1">
        <f>BL24*AK24</f>
        <v>0</v>
      </c>
      <c r="CM24" s="1">
        <f>BM24*AL24</f>
        <v>0</v>
      </c>
      <c r="CN24" s="1">
        <f>BN24*AM24</f>
        <v>0</v>
      </c>
      <c r="CO24" s="1">
        <f>BO24*AN24</f>
        <v>0</v>
      </c>
      <c r="CP24" s="1">
        <f>BP24*AO24</f>
        <v>0</v>
      </c>
      <c r="CQ24" s="1">
        <f>BQ24*AP24</f>
        <v>0</v>
      </c>
      <c r="CR24" s="1">
        <f>BR24*AQ24</f>
        <v>0</v>
      </c>
      <c r="CS24" s="1">
        <f>BS24*AR24</f>
        <v>0</v>
      </c>
      <c r="CT24" s="1">
        <f>BT24*AS24</f>
        <v>0</v>
      </c>
      <c r="CU24" s="1">
        <f>BU24*AT24</f>
        <v>0</v>
      </c>
      <c r="CV24" s="1">
        <f>BV24*AU24</f>
        <v>0</v>
      </c>
      <c r="CW24" s="1">
        <f>BW24*AV24</f>
        <v>0</v>
      </c>
      <c r="CX24" s="1">
        <f>BX24*AW24</f>
        <v>0</v>
      </c>
      <c r="CZ24" s="40"/>
      <c r="DA24" s="40"/>
    </row>
    <row r="25" spans="1:105" ht="12">
      <c r="A25" s="23" t="s">
        <v>140</v>
      </c>
      <c r="B25" s="19">
        <f>C25/$H$4</f>
        <v>0</v>
      </c>
      <c r="C25" s="10">
        <f>J23*C17*J20/100</f>
        <v>0</v>
      </c>
      <c r="D25" s="38"/>
      <c r="E25" s="39"/>
      <c r="G25" t="s">
        <v>145</v>
      </c>
      <c r="K25" t="b">
        <f>J5&gt;=400</f>
        <v>1</v>
      </c>
      <c r="L25" t="s">
        <v>146</v>
      </c>
      <c r="M25" t="b">
        <f>J5&lt;500</f>
        <v>0</v>
      </c>
      <c r="N25" t="s">
        <v>147</v>
      </c>
      <c r="O25" s="18">
        <f>K25*M25</f>
        <v>0</v>
      </c>
      <c r="P25" s="1">
        <f>W26</f>
        <v>7.05199</v>
      </c>
      <c r="Q25" s="1">
        <f>O25*P25</f>
        <v>0</v>
      </c>
      <c r="R25" s="1">
        <f>O24*P25</f>
        <v>0</v>
      </c>
      <c r="S25" s="18">
        <f>O25*400</f>
        <v>0</v>
      </c>
      <c r="T25" s="18">
        <f>O25*500</f>
        <v>0</v>
      </c>
      <c r="U25" s="23"/>
      <c r="V25">
        <v>300000</v>
      </c>
      <c r="W25" s="1">
        <f>SUM(BY25:CX25)</f>
        <v>8.27843</v>
      </c>
      <c r="X25" s="1">
        <v>5.51895</v>
      </c>
      <c r="Y25" s="1">
        <v>6.43878</v>
      </c>
      <c r="Z25" s="1">
        <v>8.27843</v>
      </c>
      <c r="AA25" s="1">
        <v>9.65816</v>
      </c>
      <c r="AB25" s="1">
        <v>13.49077</v>
      </c>
      <c r="AC25" s="1">
        <v>6.59208</v>
      </c>
      <c r="AD25" s="1">
        <v>8.27843</v>
      </c>
      <c r="AE25" s="1">
        <v>4.90573</v>
      </c>
      <c r="AF25" s="1">
        <v>5.67226</v>
      </c>
      <c r="AG25" s="1">
        <v>7.3586</v>
      </c>
      <c r="AH25" s="1">
        <v>6.59208</v>
      </c>
      <c r="AI25" s="1">
        <v>7.2053</v>
      </c>
      <c r="AJ25" s="1">
        <v>9.81147</v>
      </c>
      <c r="AK25" s="1">
        <v>7.05199</v>
      </c>
      <c r="AL25" s="1">
        <v>5.51895</v>
      </c>
      <c r="AM25" s="1">
        <v>4.44582</v>
      </c>
      <c r="AN25" s="1">
        <v>4.59913</v>
      </c>
      <c r="AO25" s="1">
        <v>3.83261</v>
      </c>
      <c r="AP25" s="1">
        <v>6.74538</v>
      </c>
      <c r="AQ25" s="1">
        <v>3.83261</v>
      </c>
      <c r="AR25" s="1">
        <v>4.59913</v>
      </c>
      <c r="AS25" s="1">
        <v>5.21234</v>
      </c>
      <c r="AT25" s="1">
        <v>5.51895</v>
      </c>
      <c r="AU25" s="1">
        <v>4.29252</v>
      </c>
      <c r="AV25" s="1">
        <v>7.3586</v>
      </c>
      <c r="AW25" s="1">
        <v>8.73834</v>
      </c>
      <c r="AX25" s="2">
        <v>300000</v>
      </c>
      <c r="AY25" s="1">
        <f>AY24</f>
        <v>0</v>
      </c>
      <c r="AZ25" s="1">
        <f>AZ24</f>
        <v>0</v>
      </c>
      <c r="BA25" s="1">
        <f>BA24</f>
        <v>0</v>
      </c>
      <c r="BB25" s="1">
        <f>BB24</f>
        <v>0</v>
      </c>
      <c r="BC25" s="1">
        <f>BC24</f>
        <v>0</v>
      </c>
      <c r="BD25" s="1">
        <f>BD24</f>
        <v>0</v>
      </c>
      <c r="BE25" s="1">
        <f>BE24</f>
        <v>1</v>
      </c>
      <c r="BF25" s="1">
        <f>BF24</f>
        <v>0</v>
      </c>
      <c r="BG25" s="1">
        <f>BG24</f>
        <v>0</v>
      </c>
      <c r="BH25" s="1">
        <f>BH24</f>
        <v>0</v>
      </c>
      <c r="BI25" s="1">
        <f>BI24</f>
        <v>0</v>
      </c>
      <c r="BJ25" s="1">
        <f>BJ24</f>
        <v>0</v>
      </c>
      <c r="BK25" s="1">
        <f>BK24</f>
        <v>0</v>
      </c>
      <c r="BL25" s="1">
        <f>BL24</f>
        <v>0</v>
      </c>
      <c r="BM25" s="1">
        <f>BM24</f>
        <v>0</v>
      </c>
      <c r="BN25" s="1">
        <f>BN24</f>
        <v>0</v>
      </c>
      <c r="BO25" s="1">
        <f>BO24</f>
        <v>0</v>
      </c>
      <c r="BP25" s="1">
        <f>BP24</f>
        <v>0</v>
      </c>
      <c r="BQ25" s="1">
        <f>BQ24</f>
        <v>0</v>
      </c>
      <c r="BR25" s="1">
        <f>BR24</f>
        <v>0</v>
      </c>
      <c r="BS25" s="1">
        <f>BS24</f>
        <v>0</v>
      </c>
      <c r="BT25" s="1">
        <f>BT24</f>
        <v>0</v>
      </c>
      <c r="BU25" s="1">
        <f>BU24</f>
        <v>0</v>
      </c>
      <c r="BV25" s="1">
        <f>BV24</f>
        <v>0</v>
      </c>
      <c r="BW25" s="1">
        <f>BW24</f>
        <v>0</v>
      </c>
      <c r="BX25" s="1">
        <f>BX24</f>
        <v>0</v>
      </c>
      <c r="BY25" s="1">
        <f>AY25*X25</f>
        <v>0</v>
      </c>
      <c r="BZ25" s="1">
        <f>AZ25*Y25</f>
        <v>0</v>
      </c>
      <c r="CA25" s="1">
        <f>BA25*Z25</f>
        <v>0</v>
      </c>
      <c r="CB25" s="1">
        <f>BB25*AA25</f>
        <v>0</v>
      </c>
      <c r="CC25" s="1">
        <f>BC25*AB25</f>
        <v>0</v>
      </c>
      <c r="CD25" s="1">
        <f>BD25*AC25</f>
        <v>0</v>
      </c>
      <c r="CE25" s="1">
        <f>BE25*AD25</f>
        <v>8.27843</v>
      </c>
      <c r="CF25" s="1">
        <f>BF25*AE25</f>
        <v>0</v>
      </c>
      <c r="CG25" s="1">
        <f>BG25*AF25</f>
        <v>0</v>
      </c>
      <c r="CH25" s="1">
        <f>BH25*AG25</f>
        <v>0</v>
      </c>
      <c r="CI25" s="1">
        <f>BI25*AH25</f>
        <v>0</v>
      </c>
      <c r="CJ25" s="1">
        <f>BJ25*AI25</f>
        <v>0</v>
      </c>
      <c r="CK25" s="1">
        <f>BK25*AJ25</f>
        <v>0</v>
      </c>
      <c r="CL25" s="1">
        <f>BL25*AK25</f>
        <v>0</v>
      </c>
      <c r="CM25" s="1">
        <f>BM25*AL25</f>
        <v>0</v>
      </c>
      <c r="CN25" s="1">
        <f>BN25*AM25</f>
        <v>0</v>
      </c>
      <c r="CO25" s="1">
        <f>BO25*AN25</f>
        <v>0</v>
      </c>
      <c r="CP25" s="1">
        <f>BP25*AO25</f>
        <v>0</v>
      </c>
      <c r="CQ25" s="1">
        <f>BQ25*AP25</f>
        <v>0</v>
      </c>
      <c r="CR25" s="1">
        <f>BR25*AQ25</f>
        <v>0</v>
      </c>
      <c r="CS25" s="1">
        <f>BS25*AR25</f>
        <v>0</v>
      </c>
      <c r="CT25" s="1">
        <f>BT25*AS25</f>
        <v>0</v>
      </c>
      <c r="CU25" s="1">
        <f>BU25*AT25</f>
        <v>0</v>
      </c>
      <c r="CV25" s="1">
        <f>BV25*AU25</f>
        <v>0</v>
      </c>
      <c r="CW25" s="1">
        <f>BW25*AV25</f>
        <v>0</v>
      </c>
      <c r="CX25" s="1">
        <f>BX25*AW25</f>
        <v>0</v>
      </c>
      <c r="CZ25" s="40"/>
      <c r="DA25" s="40"/>
    </row>
    <row r="26" spans="1:105" ht="12">
      <c r="A26" s="23" t="s">
        <v>148</v>
      </c>
      <c r="B26" s="19">
        <f>C26/$H$4</f>
        <v>0</v>
      </c>
      <c r="C26" s="15">
        <f>-1*(C23+C24+C25)*D26/100</f>
        <v>0</v>
      </c>
      <c r="D26" s="38">
        <v>0</v>
      </c>
      <c r="E26" s="39" t="s">
        <v>141</v>
      </c>
      <c r="G26" s="41" t="s">
        <v>149</v>
      </c>
      <c r="K26" t="b">
        <f>J5&gt;=500</f>
        <v>1</v>
      </c>
      <c r="L26" t="s">
        <v>150</v>
      </c>
      <c r="M26" t="b">
        <f>J5&lt;600</f>
        <v>0</v>
      </c>
      <c r="N26" t="s">
        <v>151</v>
      </c>
      <c r="O26" s="18">
        <f>K26*M26</f>
        <v>0</v>
      </c>
      <c r="P26" s="1">
        <f>W27</f>
        <v>6.43878</v>
      </c>
      <c r="Q26" s="1">
        <f>O26*P26</f>
        <v>0</v>
      </c>
      <c r="R26" s="1">
        <f>O25*P26</f>
        <v>0</v>
      </c>
      <c r="S26" s="18">
        <f>O26*500</f>
        <v>0</v>
      </c>
      <c r="T26" s="18">
        <f>O26*600</f>
        <v>0</v>
      </c>
      <c r="U26" s="23"/>
      <c r="V26">
        <v>400000</v>
      </c>
      <c r="W26" s="1">
        <f>SUM(BY26:CX26)</f>
        <v>7.05199</v>
      </c>
      <c r="X26" s="1">
        <v>5.21234</v>
      </c>
      <c r="Y26" s="1">
        <v>6.13217</v>
      </c>
      <c r="Z26" s="1">
        <v>7.2053</v>
      </c>
      <c r="AA26" s="1">
        <v>8.58504</v>
      </c>
      <c r="AB26" s="1">
        <v>11.65112</v>
      </c>
      <c r="AC26" s="1">
        <v>5.97886</v>
      </c>
      <c r="AD26" s="1">
        <v>7.05199</v>
      </c>
      <c r="AE26" s="1">
        <v>4.29252</v>
      </c>
      <c r="AF26" s="1">
        <v>4.90573</v>
      </c>
      <c r="AG26" s="1">
        <v>6.13217</v>
      </c>
      <c r="AH26" s="1">
        <v>5.67226</v>
      </c>
      <c r="AI26" s="1">
        <v>6.28543</v>
      </c>
      <c r="AJ26" s="1">
        <v>8.58504</v>
      </c>
      <c r="AK26" s="1">
        <v>6.74538</v>
      </c>
      <c r="AL26" s="1">
        <v>5.21234</v>
      </c>
      <c r="AM26" s="1">
        <v>4.29252</v>
      </c>
      <c r="AN26" s="1">
        <v>4.59913</v>
      </c>
      <c r="AO26" s="1">
        <v>3.6793</v>
      </c>
      <c r="AP26" s="1">
        <v>6.43878</v>
      </c>
      <c r="AQ26" s="1">
        <v>3.6793</v>
      </c>
      <c r="AR26" s="1">
        <f>(AR25+AR27)/2</f>
        <v>4.522475</v>
      </c>
      <c r="AS26" s="1">
        <f>(AS25+AS27)/2</f>
        <v>5.13569</v>
      </c>
      <c r="AT26" s="1">
        <v>5.21204</v>
      </c>
      <c r="AU26" s="1">
        <v>3.98591</v>
      </c>
      <c r="AV26" s="1">
        <v>7.05199</v>
      </c>
      <c r="AW26" s="1">
        <v>8.43173</v>
      </c>
      <c r="AX26" s="2">
        <v>400000</v>
      </c>
      <c r="AY26" s="1">
        <f>AY25</f>
        <v>0</v>
      </c>
      <c r="AZ26" s="1">
        <f>AZ25</f>
        <v>0</v>
      </c>
      <c r="BA26" s="1">
        <f>BA25</f>
        <v>0</v>
      </c>
      <c r="BB26" s="1">
        <f>BB25</f>
        <v>0</v>
      </c>
      <c r="BC26" s="1">
        <f>BC25</f>
        <v>0</v>
      </c>
      <c r="BD26" s="1">
        <f>BD25</f>
        <v>0</v>
      </c>
      <c r="BE26" s="1">
        <f>BE25</f>
        <v>1</v>
      </c>
      <c r="BF26" s="1">
        <f>BF25</f>
        <v>0</v>
      </c>
      <c r="BG26" s="1">
        <f>BG25</f>
        <v>0</v>
      </c>
      <c r="BH26" s="1">
        <f>BH25</f>
        <v>0</v>
      </c>
      <c r="BI26" s="1">
        <f>BI25</f>
        <v>0</v>
      </c>
      <c r="BJ26" s="1">
        <f>BJ25</f>
        <v>0</v>
      </c>
      <c r="BK26" s="1">
        <f>BK25</f>
        <v>0</v>
      </c>
      <c r="BL26" s="1">
        <f>BL25</f>
        <v>0</v>
      </c>
      <c r="BM26" s="1">
        <f>BM25</f>
        <v>0</v>
      </c>
      <c r="BN26" s="1">
        <f>BN25</f>
        <v>0</v>
      </c>
      <c r="BO26" s="1">
        <f>BO25</f>
        <v>0</v>
      </c>
      <c r="BP26" s="1">
        <f>BP25</f>
        <v>0</v>
      </c>
      <c r="BQ26" s="1">
        <f>BQ25</f>
        <v>0</v>
      </c>
      <c r="BR26" s="1">
        <f>BR25</f>
        <v>0</v>
      </c>
      <c r="BS26" s="1">
        <f>BS25</f>
        <v>0</v>
      </c>
      <c r="BT26" s="1">
        <f>BT25</f>
        <v>0</v>
      </c>
      <c r="BU26" s="1">
        <f>BU25</f>
        <v>0</v>
      </c>
      <c r="BV26" s="1">
        <f>BV25</f>
        <v>0</v>
      </c>
      <c r="BW26" s="1">
        <f>BW25</f>
        <v>0</v>
      </c>
      <c r="BX26" s="1">
        <f>BX25</f>
        <v>0</v>
      </c>
      <c r="BY26" s="1">
        <f>AY26*X26</f>
        <v>0</v>
      </c>
      <c r="BZ26" s="1">
        <f>AZ26*Y26</f>
        <v>0</v>
      </c>
      <c r="CA26" s="1">
        <f>BA26*Z26</f>
        <v>0</v>
      </c>
      <c r="CB26" s="1">
        <f>BB26*AA26</f>
        <v>0</v>
      </c>
      <c r="CC26" s="1">
        <f>BC26*AB26</f>
        <v>0</v>
      </c>
      <c r="CD26" s="1">
        <f>BD26*AC26</f>
        <v>0</v>
      </c>
      <c r="CE26" s="1">
        <f>BE26*AD26</f>
        <v>7.05199</v>
      </c>
      <c r="CF26" s="1">
        <f>BF26*AE26</f>
        <v>0</v>
      </c>
      <c r="CG26" s="1">
        <f>BG26*AF26</f>
        <v>0</v>
      </c>
      <c r="CH26" s="1">
        <f>BH26*AG26</f>
        <v>0</v>
      </c>
      <c r="CI26" s="1">
        <f>BI26*AH26</f>
        <v>0</v>
      </c>
      <c r="CJ26" s="1">
        <f>BJ26*AI26</f>
        <v>0</v>
      </c>
      <c r="CK26" s="1">
        <f>BK26*AJ26</f>
        <v>0</v>
      </c>
      <c r="CL26" s="1">
        <f>BL26*AK26</f>
        <v>0</v>
      </c>
      <c r="CM26" s="1">
        <f>BM26*AL26</f>
        <v>0</v>
      </c>
      <c r="CN26" s="1">
        <f>BN26*AM26</f>
        <v>0</v>
      </c>
      <c r="CO26" s="1">
        <f>BO26*AN26</f>
        <v>0</v>
      </c>
      <c r="CP26" s="1">
        <f>BP26*AO26</f>
        <v>0</v>
      </c>
      <c r="CQ26" s="1">
        <f>BQ26*AP26</f>
        <v>0</v>
      </c>
      <c r="CR26" s="1">
        <f>BR26*AQ26</f>
        <v>0</v>
      </c>
      <c r="CS26" s="1">
        <f>BS26*AR26</f>
        <v>0</v>
      </c>
      <c r="CT26" s="1">
        <f>BT26*AS26</f>
        <v>0</v>
      </c>
      <c r="CU26" s="1">
        <f>BU26*AT26</f>
        <v>0</v>
      </c>
      <c r="CV26" s="1">
        <f>BV26*AU26</f>
        <v>0</v>
      </c>
      <c r="CW26" s="1">
        <f>BW26*AV26</f>
        <v>0</v>
      </c>
      <c r="CX26" s="1">
        <f>BX26*AW26</f>
        <v>0</v>
      </c>
      <c r="CZ26" s="40"/>
      <c r="DA26" s="40"/>
    </row>
    <row r="27" spans="1:105" ht="12">
      <c r="A27" s="23" t="s">
        <v>152</v>
      </c>
      <c r="B27" s="28">
        <f>C27/$H$4</f>
        <v>28071.977408697603</v>
      </c>
      <c r="C27" s="34">
        <f>C23+C24+C25+C26</f>
        <v>54354927.697138906</v>
      </c>
      <c r="J27" s="9"/>
      <c r="K27" t="b">
        <f>J5&gt;=600</f>
        <v>1</v>
      </c>
      <c r="L27" t="s">
        <v>153</v>
      </c>
      <c r="M27" t="b">
        <f>J5&lt;700</f>
        <v>0</v>
      </c>
      <c r="N27" t="s">
        <v>154</v>
      </c>
      <c r="O27" s="18">
        <f>K27*M27</f>
        <v>0</v>
      </c>
      <c r="P27" s="1">
        <f>W28</f>
        <v>6.15626</v>
      </c>
      <c r="Q27" s="1">
        <f>O27*P27</f>
        <v>0</v>
      </c>
      <c r="R27" s="1">
        <f>O26*P27</f>
        <v>0</v>
      </c>
      <c r="S27" s="18">
        <f>O27*600</f>
        <v>0</v>
      </c>
      <c r="T27" s="18">
        <f>O27*700</f>
        <v>0</v>
      </c>
      <c r="V27">
        <v>500000</v>
      </c>
      <c r="W27" s="1">
        <f>SUM(BY27:CX27)</f>
        <v>6.43878</v>
      </c>
      <c r="X27" s="1">
        <v>5.05904</v>
      </c>
      <c r="Y27" s="1">
        <v>5.82556</v>
      </c>
      <c r="Z27" s="1">
        <v>6.43878</v>
      </c>
      <c r="AA27" s="1">
        <v>7.97182</v>
      </c>
      <c r="AB27" s="1">
        <v>10.42469</v>
      </c>
      <c r="AC27" s="1">
        <v>5.51895</v>
      </c>
      <c r="AD27" s="1">
        <v>6.43878</v>
      </c>
      <c r="AE27" s="1">
        <v>3.83261</v>
      </c>
      <c r="AF27" s="1">
        <v>4.59913</v>
      </c>
      <c r="AG27" s="1">
        <v>5.21234</v>
      </c>
      <c r="AH27" s="1">
        <v>5.05904</v>
      </c>
      <c r="AI27" s="1">
        <v>5.67226</v>
      </c>
      <c r="AJ27" s="1">
        <v>7.66521</v>
      </c>
      <c r="AK27" s="1">
        <v>6.43878</v>
      </c>
      <c r="AL27" s="1">
        <v>4.90573</v>
      </c>
      <c r="AM27" s="1">
        <v>4.13921</v>
      </c>
      <c r="AN27" s="1">
        <v>4.59913</v>
      </c>
      <c r="AO27" s="1">
        <v>3.526</v>
      </c>
      <c r="AP27" s="1">
        <v>6.13217</v>
      </c>
      <c r="AQ27" s="1">
        <v>3.526</v>
      </c>
      <c r="AR27" s="1">
        <v>4.44582</v>
      </c>
      <c r="AS27" s="1">
        <v>5.05904</v>
      </c>
      <c r="AT27" s="1">
        <v>5.05904</v>
      </c>
      <c r="AU27" s="1">
        <v>3.6793</v>
      </c>
      <c r="AV27" s="1">
        <v>6.74538</v>
      </c>
      <c r="AW27" s="1">
        <v>8.12512</v>
      </c>
      <c r="AX27" s="2">
        <v>500000</v>
      </c>
      <c r="AY27" s="1">
        <f>AY26</f>
        <v>0</v>
      </c>
      <c r="AZ27" s="1">
        <f>AZ26</f>
        <v>0</v>
      </c>
      <c r="BA27" s="1">
        <f>BA26</f>
        <v>0</v>
      </c>
      <c r="BB27" s="1">
        <f>BB26</f>
        <v>0</v>
      </c>
      <c r="BC27" s="1">
        <f>BC26</f>
        <v>0</v>
      </c>
      <c r="BD27" s="1">
        <f>BD26</f>
        <v>0</v>
      </c>
      <c r="BE27" s="1">
        <f>BE26</f>
        <v>1</v>
      </c>
      <c r="BF27" s="1">
        <f>BF26</f>
        <v>0</v>
      </c>
      <c r="BG27" s="1">
        <f>BG26</f>
        <v>0</v>
      </c>
      <c r="BH27" s="1">
        <f>BH26</f>
        <v>0</v>
      </c>
      <c r="BI27" s="1">
        <f>BI26</f>
        <v>0</v>
      </c>
      <c r="BJ27" s="1">
        <f>BJ26</f>
        <v>0</v>
      </c>
      <c r="BK27" s="1">
        <f>BK26</f>
        <v>0</v>
      </c>
      <c r="BL27" s="1">
        <f>BL26</f>
        <v>0</v>
      </c>
      <c r="BM27" s="1">
        <f>BM26</f>
        <v>0</v>
      </c>
      <c r="BN27" s="1">
        <f>BN26</f>
        <v>0</v>
      </c>
      <c r="BO27" s="1">
        <f>BO26</f>
        <v>0</v>
      </c>
      <c r="BP27" s="1">
        <f>BP26</f>
        <v>0</v>
      </c>
      <c r="BQ27" s="1">
        <f>BQ26</f>
        <v>0</v>
      </c>
      <c r="BR27" s="1">
        <f>BR26</f>
        <v>0</v>
      </c>
      <c r="BS27" s="1">
        <f>BS26</f>
        <v>0</v>
      </c>
      <c r="BT27" s="1">
        <f>BT26</f>
        <v>0</v>
      </c>
      <c r="BU27" s="1">
        <f>BU26</f>
        <v>0</v>
      </c>
      <c r="BV27" s="1">
        <f>BV26</f>
        <v>0</v>
      </c>
      <c r="BW27" s="1">
        <f>BW26</f>
        <v>0</v>
      </c>
      <c r="BX27" s="1">
        <f>BX26</f>
        <v>0</v>
      </c>
      <c r="BY27" s="1">
        <f>AY27*X27</f>
        <v>0</v>
      </c>
      <c r="BZ27" s="1">
        <f>AZ27*Y27</f>
        <v>0</v>
      </c>
      <c r="CA27" s="1">
        <f>BA27*Z27</f>
        <v>0</v>
      </c>
      <c r="CB27" s="1">
        <f>BB27*AA27</f>
        <v>0</v>
      </c>
      <c r="CC27" s="1">
        <f>BC27*AB27</f>
        <v>0</v>
      </c>
      <c r="CD27" s="1">
        <f>BD27*AC27</f>
        <v>0</v>
      </c>
      <c r="CE27" s="1">
        <f>BE27*AD27</f>
        <v>6.43878</v>
      </c>
      <c r="CF27" s="1">
        <f>BF27*AE27</f>
        <v>0</v>
      </c>
      <c r="CG27" s="1">
        <f>BG27*AF27</f>
        <v>0</v>
      </c>
      <c r="CH27" s="1">
        <f>BH27*AG27</f>
        <v>0</v>
      </c>
      <c r="CI27" s="1">
        <f>BI27*AH27</f>
        <v>0</v>
      </c>
      <c r="CJ27" s="1">
        <f>BJ27*AI27</f>
        <v>0</v>
      </c>
      <c r="CK27" s="1">
        <f>BK27*AJ27</f>
        <v>0</v>
      </c>
      <c r="CL27" s="1">
        <f>BL27*AK27</f>
        <v>0</v>
      </c>
      <c r="CM27" s="1">
        <f>BM27*AL27</f>
        <v>0</v>
      </c>
      <c r="CN27" s="1">
        <f>BN27*AM27</f>
        <v>0</v>
      </c>
      <c r="CO27" s="1">
        <f>BO27*AN27</f>
        <v>0</v>
      </c>
      <c r="CP27" s="1">
        <f>BP27*AO27</f>
        <v>0</v>
      </c>
      <c r="CQ27" s="1">
        <f>BQ27*AP27</f>
        <v>0</v>
      </c>
      <c r="CR27" s="1">
        <f>BR27*AQ27</f>
        <v>0</v>
      </c>
      <c r="CS27" s="1">
        <f>BS27*AR27</f>
        <v>0</v>
      </c>
      <c r="CT27" s="1">
        <f>BT27*AS27</f>
        <v>0</v>
      </c>
      <c r="CU27" s="1">
        <f>BU27*AT27</f>
        <v>0</v>
      </c>
      <c r="CV27" s="1">
        <f>BV27*AU27</f>
        <v>0</v>
      </c>
      <c r="CW27" s="1">
        <f>BW27*AV27</f>
        <v>0</v>
      </c>
      <c r="CX27" s="1">
        <f>BX27*AW27</f>
        <v>0</v>
      </c>
      <c r="CZ27" s="40"/>
      <c r="DA27" s="40"/>
    </row>
    <row r="28" spans="1:105" ht="12">
      <c r="A28" s="42" t="s">
        <v>155</v>
      </c>
      <c r="B28" s="20" t="s">
        <v>156</v>
      </c>
      <c r="C28" s="43"/>
      <c r="E28" s="42" t="s">
        <v>157</v>
      </c>
      <c r="F28" s="20" t="s">
        <v>156</v>
      </c>
      <c r="J28" t="b">
        <f>(C20-5000000)&gt;0</f>
        <v>1</v>
      </c>
      <c r="K28" t="b">
        <f>J5&gt;=700</f>
        <v>1</v>
      </c>
      <c r="L28" t="s">
        <v>158</v>
      </c>
      <c r="M28" t="b">
        <f>J5&lt;800</f>
        <v>0</v>
      </c>
      <c r="N28" t="s">
        <v>159</v>
      </c>
      <c r="O28" s="18">
        <f>K28*M28</f>
        <v>0</v>
      </c>
      <c r="P28" s="1">
        <f>W29</f>
        <v>5.9482</v>
      </c>
      <c r="Q28" s="1">
        <f>O28*P28</f>
        <v>0</v>
      </c>
      <c r="R28" s="1">
        <f>O27*P28</f>
        <v>0</v>
      </c>
      <c r="S28" s="18">
        <f>O28*700</f>
        <v>0</v>
      </c>
      <c r="T28" s="18">
        <f>O28*800</f>
        <v>0</v>
      </c>
      <c r="U28" s="23"/>
      <c r="V28">
        <v>600000</v>
      </c>
      <c r="W28" s="1">
        <f>SUM(BY28:CX28)</f>
        <v>6.15626</v>
      </c>
      <c r="X28" s="1">
        <v>4.83346</v>
      </c>
      <c r="Y28" s="1">
        <v>5.79928</v>
      </c>
      <c r="Z28" s="1">
        <v>6.16283</v>
      </c>
      <c r="AA28" s="1">
        <v>7.61922</v>
      </c>
      <c r="AB28" s="1">
        <v>9.96477</v>
      </c>
      <c r="AC28" s="1">
        <v>5.27366</v>
      </c>
      <c r="AD28" s="1">
        <v>6.15626</v>
      </c>
      <c r="AE28" s="1">
        <v>3.66397</v>
      </c>
      <c r="AF28" s="1">
        <v>4.39545</v>
      </c>
      <c r="AG28" s="1">
        <v>4.98239</v>
      </c>
      <c r="AH28" s="1">
        <v>4.83346</v>
      </c>
      <c r="AI28" s="1">
        <v>5.42259</v>
      </c>
      <c r="AJ28" s="1">
        <v>7.32794</v>
      </c>
      <c r="AK28" s="1">
        <v>6.15626</v>
      </c>
      <c r="AL28" s="1">
        <v>4.69111</v>
      </c>
      <c r="AM28" s="1">
        <v>3.95525</v>
      </c>
      <c r="AN28" s="1">
        <v>4.59913</v>
      </c>
      <c r="AO28" s="1">
        <v>3.48439</v>
      </c>
      <c r="AP28" s="1">
        <v>5.96572</v>
      </c>
      <c r="AQ28" s="1">
        <v>3.43401</v>
      </c>
      <c r="AR28" s="1">
        <v>4.3845</v>
      </c>
      <c r="AS28" s="1">
        <v>5.00867</v>
      </c>
      <c r="AT28" s="1">
        <v>4.83346</v>
      </c>
      <c r="AU28" s="1">
        <v>3.58075</v>
      </c>
      <c r="AV28" s="1">
        <v>6.41031</v>
      </c>
      <c r="AW28" s="1">
        <v>7.9105</v>
      </c>
      <c r="AX28" s="2">
        <v>600000</v>
      </c>
      <c r="AY28" s="1">
        <f>AY27</f>
        <v>0</v>
      </c>
      <c r="AZ28" s="1">
        <f>AZ27</f>
        <v>0</v>
      </c>
      <c r="BA28" s="1">
        <f>BA27</f>
        <v>0</v>
      </c>
      <c r="BB28" s="1">
        <f>BB27</f>
        <v>0</v>
      </c>
      <c r="BC28" s="1">
        <f>BC27</f>
        <v>0</v>
      </c>
      <c r="BD28" s="1">
        <f>BD27</f>
        <v>0</v>
      </c>
      <c r="BE28" s="1">
        <f>BE27</f>
        <v>1</v>
      </c>
      <c r="BF28" s="1">
        <f>BF27</f>
        <v>0</v>
      </c>
      <c r="BG28" s="1">
        <f>BG27</f>
        <v>0</v>
      </c>
      <c r="BH28" s="1">
        <f>BH27</f>
        <v>0</v>
      </c>
      <c r="BI28" s="1">
        <f>BI27</f>
        <v>0</v>
      </c>
      <c r="BJ28" s="1">
        <f>BJ27</f>
        <v>0</v>
      </c>
      <c r="BK28" s="1">
        <f>BK27</f>
        <v>0</v>
      </c>
      <c r="BL28" s="1">
        <f>BL27</f>
        <v>0</v>
      </c>
      <c r="BM28" s="1">
        <f>BM27</f>
        <v>0</v>
      </c>
      <c r="BN28" s="1">
        <f>BN27</f>
        <v>0</v>
      </c>
      <c r="BO28" s="1">
        <f>BO27</f>
        <v>0</v>
      </c>
      <c r="BP28" s="1">
        <f>BP27</f>
        <v>0</v>
      </c>
      <c r="BQ28" s="1">
        <f>BQ27</f>
        <v>0</v>
      </c>
      <c r="BR28" s="1">
        <f>BR27</f>
        <v>0</v>
      </c>
      <c r="BS28" s="1">
        <f>BS27</f>
        <v>0</v>
      </c>
      <c r="BT28" s="1">
        <f>BT27</f>
        <v>0</v>
      </c>
      <c r="BU28" s="1">
        <f>BU27</f>
        <v>0</v>
      </c>
      <c r="BV28" s="1">
        <f>BV27</f>
        <v>0</v>
      </c>
      <c r="BW28" s="1">
        <f>BW27</f>
        <v>0</v>
      </c>
      <c r="BX28" s="1">
        <f>BX27</f>
        <v>0</v>
      </c>
      <c r="BY28" s="1">
        <f>AY28*X28</f>
        <v>0</v>
      </c>
      <c r="BZ28" s="1">
        <f>AZ28*Y28</f>
        <v>0</v>
      </c>
      <c r="CA28" s="1">
        <f>BA28*Z28</f>
        <v>0</v>
      </c>
      <c r="CB28" s="1">
        <f>BB28*AA28</f>
        <v>0</v>
      </c>
      <c r="CC28" s="1">
        <f>BC28*AB28</f>
        <v>0</v>
      </c>
      <c r="CD28" s="1">
        <f>BD28*AC28</f>
        <v>0</v>
      </c>
      <c r="CE28" s="1">
        <f>BE28*AD28</f>
        <v>6.15626</v>
      </c>
      <c r="CF28" s="1">
        <f>BF28*AE28</f>
        <v>0</v>
      </c>
      <c r="CG28" s="1">
        <f>BG28*AF28</f>
        <v>0</v>
      </c>
      <c r="CH28" s="1">
        <f>BH28*AG28</f>
        <v>0</v>
      </c>
      <c r="CI28" s="1">
        <f>BI28*AH28</f>
        <v>0</v>
      </c>
      <c r="CJ28" s="1">
        <f>BJ28*AI28</f>
        <v>0</v>
      </c>
      <c r="CK28" s="1">
        <f>BK28*AJ28</f>
        <v>0</v>
      </c>
      <c r="CL28" s="1">
        <f>BL28*AK28</f>
        <v>0</v>
      </c>
      <c r="CM28" s="1">
        <f>BM28*AL28</f>
        <v>0</v>
      </c>
      <c r="CN28" s="1">
        <f>BN28*AM28</f>
        <v>0</v>
      </c>
      <c r="CO28" s="1">
        <f>BO28*AN28</f>
        <v>0</v>
      </c>
      <c r="CP28" s="1">
        <f>BP28*AO28</f>
        <v>0</v>
      </c>
      <c r="CQ28" s="1">
        <f>BQ28*AP28</f>
        <v>0</v>
      </c>
      <c r="CR28" s="1">
        <f>BR28*AQ28</f>
        <v>0</v>
      </c>
      <c r="CS28" s="1">
        <f>BS28*AR28</f>
        <v>0</v>
      </c>
      <c r="CT28" s="1">
        <f>BT28*AS28</f>
        <v>0</v>
      </c>
      <c r="CU28" s="1">
        <f>BU28*AT28</f>
        <v>0</v>
      </c>
      <c r="CV28" s="1">
        <f>BV28*AU28</f>
        <v>0</v>
      </c>
      <c r="CW28" s="1">
        <f>BW28*AV28</f>
        <v>0</v>
      </c>
      <c r="CX28" s="1">
        <f>BX28*AW28</f>
        <v>0</v>
      </c>
      <c r="CZ28" s="40"/>
      <c r="DA28" s="40"/>
    </row>
    <row r="29" spans="1:102" ht="12.75">
      <c r="A29" s="42" t="s">
        <v>160</v>
      </c>
      <c r="B29" s="44" t="s">
        <v>156</v>
      </c>
      <c r="C29" s="43"/>
      <c r="E29" s="42" t="s">
        <v>161</v>
      </c>
      <c r="F29" s="44" t="s">
        <v>156</v>
      </c>
      <c r="J29" t="b">
        <f>(C20-20000000)&gt;0</f>
        <v>1</v>
      </c>
      <c r="K29" t="b">
        <f>J5&gt;=800</f>
        <v>1</v>
      </c>
      <c r="L29" t="s">
        <v>162</v>
      </c>
      <c r="M29" t="b">
        <f>J5&lt;900</f>
        <v>0</v>
      </c>
      <c r="N29" t="s">
        <v>163</v>
      </c>
      <c r="O29" s="18">
        <f>K29*M29</f>
        <v>0</v>
      </c>
      <c r="P29" s="1">
        <f>W30</f>
        <v>5.76643</v>
      </c>
      <c r="Q29" s="1">
        <f>O29*P29</f>
        <v>0</v>
      </c>
      <c r="R29" s="1">
        <f>O28*P29</f>
        <v>0</v>
      </c>
      <c r="S29" s="18">
        <f>O29*800</f>
        <v>0</v>
      </c>
      <c r="T29" s="18">
        <f>O29*900</f>
        <v>0</v>
      </c>
      <c r="V29">
        <v>700000</v>
      </c>
      <c r="W29" s="1">
        <f>SUM(BY29:CX29)</f>
        <v>5.9482</v>
      </c>
      <c r="X29" s="1">
        <v>4.66483</v>
      </c>
      <c r="Y29" s="1">
        <v>5.59998</v>
      </c>
      <c r="Z29" s="1">
        <v>5.9482</v>
      </c>
      <c r="AA29" s="1">
        <v>7.36298</v>
      </c>
      <c r="AB29" s="1">
        <v>9.63188</v>
      </c>
      <c r="AC29" s="1">
        <v>5.09846</v>
      </c>
      <c r="AD29" s="1">
        <v>5.9482</v>
      </c>
      <c r="AE29" s="1">
        <v>3.54133</v>
      </c>
      <c r="AF29" s="1">
        <v>4.24872</v>
      </c>
      <c r="AG29" s="1">
        <v>4.81594</v>
      </c>
      <c r="AH29" s="1">
        <v>4.66483</v>
      </c>
      <c r="AI29" s="1">
        <v>5.23862</v>
      </c>
      <c r="AJ29" s="1">
        <v>7.08265</v>
      </c>
      <c r="AK29" s="1">
        <v>5.9482</v>
      </c>
      <c r="AL29" s="1">
        <v>4.53123</v>
      </c>
      <c r="AM29" s="1">
        <v>3.82165</v>
      </c>
      <c r="AN29" s="1">
        <v>4.59913</v>
      </c>
      <c r="AO29" s="1">
        <v>3.46686</v>
      </c>
      <c r="AP29" s="1">
        <v>5.85629</v>
      </c>
      <c r="AQ29" s="1">
        <v>3.40335</v>
      </c>
      <c r="AR29" s="1">
        <v>4.32318</v>
      </c>
      <c r="AS29" s="1">
        <v>4.94078</v>
      </c>
      <c r="AT29" s="1">
        <v>4.6714</v>
      </c>
      <c r="AU29" s="1">
        <v>3.46467</v>
      </c>
      <c r="AV29" s="1">
        <v>6.19787</v>
      </c>
      <c r="AW29" s="1">
        <v>7.54257</v>
      </c>
      <c r="AX29" s="2">
        <v>700000</v>
      </c>
      <c r="AY29" s="1">
        <f>AY28</f>
        <v>0</v>
      </c>
      <c r="AZ29" s="1">
        <f>AZ28</f>
        <v>0</v>
      </c>
      <c r="BA29" s="1">
        <f>BA28</f>
        <v>0</v>
      </c>
      <c r="BB29" s="1">
        <f>BB28</f>
        <v>0</v>
      </c>
      <c r="BC29" s="1">
        <f>BC28</f>
        <v>0</v>
      </c>
      <c r="BD29" s="1">
        <f>BD28</f>
        <v>0</v>
      </c>
      <c r="BE29" s="1">
        <f>BE28</f>
        <v>1</v>
      </c>
      <c r="BF29" s="1">
        <f>BF28</f>
        <v>0</v>
      </c>
      <c r="BG29" s="1">
        <f>BG28</f>
        <v>0</v>
      </c>
      <c r="BH29" s="1">
        <f>BH28</f>
        <v>0</v>
      </c>
      <c r="BI29" s="1">
        <f>BI28</f>
        <v>0</v>
      </c>
      <c r="BJ29" s="1">
        <f>BJ28</f>
        <v>0</v>
      </c>
      <c r="BK29" s="1">
        <f>BK28</f>
        <v>0</v>
      </c>
      <c r="BL29" s="1">
        <f>BL28</f>
        <v>0</v>
      </c>
      <c r="BM29" s="1">
        <f>BM28</f>
        <v>0</v>
      </c>
      <c r="BN29" s="1">
        <f>BN28</f>
        <v>0</v>
      </c>
      <c r="BO29" s="1">
        <f>BO28</f>
        <v>0</v>
      </c>
      <c r="BP29" s="1">
        <f>BP28</f>
        <v>0</v>
      </c>
      <c r="BQ29" s="1">
        <f>BQ28</f>
        <v>0</v>
      </c>
      <c r="BR29" s="1">
        <f>BR28</f>
        <v>0</v>
      </c>
      <c r="BS29" s="1">
        <f>BS28</f>
        <v>0</v>
      </c>
      <c r="BT29" s="1">
        <f>BT28</f>
        <v>0</v>
      </c>
      <c r="BU29" s="1">
        <f>BU28</f>
        <v>0</v>
      </c>
      <c r="BV29" s="1">
        <f>BV28</f>
        <v>0</v>
      </c>
      <c r="BW29" s="1">
        <f>BW28</f>
        <v>0</v>
      </c>
      <c r="BX29" s="1">
        <f>BX28</f>
        <v>0</v>
      </c>
      <c r="BY29" s="1">
        <f>AY29*X29</f>
        <v>0</v>
      </c>
      <c r="BZ29" s="1">
        <f>AZ29*Y29</f>
        <v>0</v>
      </c>
      <c r="CA29" s="1">
        <f>BA29*Z29</f>
        <v>0</v>
      </c>
      <c r="CB29" s="1">
        <f>BB29*AA29</f>
        <v>0</v>
      </c>
      <c r="CC29" s="1">
        <f>BC29*AB29</f>
        <v>0</v>
      </c>
      <c r="CD29" s="1">
        <f>BD29*AC29</f>
        <v>0</v>
      </c>
      <c r="CE29" s="1">
        <f>BE29*AD29</f>
        <v>5.9482</v>
      </c>
      <c r="CF29" s="1">
        <f>BF29*AE29</f>
        <v>0</v>
      </c>
      <c r="CG29" s="1">
        <f>BG29*AF29</f>
        <v>0</v>
      </c>
      <c r="CH29" s="1">
        <f>BH29*AG29</f>
        <v>0</v>
      </c>
      <c r="CI29" s="1">
        <f>BI29*AH29</f>
        <v>0</v>
      </c>
      <c r="CJ29" s="1">
        <f>BJ29*AI29</f>
        <v>0</v>
      </c>
      <c r="CK29" s="1">
        <f>BK29*AJ29</f>
        <v>0</v>
      </c>
      <c r="CL29" s="1">
        <f>BL29*AK29</f>
        <v>0</v>
      </c>
      <c r="CM29" s="1">
        <f>BM29*AL29</f>
        <v>0</v>
      </c>
      <c r="CN29" s="1">
        <f>BN29*AM29</f>
        <v>0</v>
      </c>
      <c r="CO29" s="1">
        <f>BO29*AN29</f>
        <v>0</v>
      </c>
      <c r="CP29" s="1">
        <f>BP29*AO29</f>
        <v>0</v>
      </c>
      <c r="CQ29" s="1">
        <f>BQ29*AP29</f>
        <v>0</v>
      </c>
      <c r="CR29" s="1">
        <f>BR29*AQ29</f>
        <v>0</v>
      </c>
      <c r="CS29" s="1">
        <f>BS29*AR29</f>
        <v>0</v>
      </c>
      <c r="CT29" s="1">
        <f>BT29*AS29</f>
        <v>0</v>
      </c>
      <c r="CU29" s="1">
        <f>BU29*AT29</f>
        <v>0</v>
      </c>
      <c r="CV29" s="1">
        <f>BV29*AU29</f>
        <v>0</v>
      </c>
      <c r="CW29" s="1">
        <f>BW29*AV29</f>
        <v>0</v>
      </c>
      <c r="CX29" s="1">
        <f>BX29*AW29</f>
        <v>0</v>
      </c>
    </row>
    <row r="30" spans="1:102" ht="12.75">
      <c r="A30" s="23" t="s">
        <v>164</v>
      </c>
      <c r="B30" s="45">
        <f>(0.12+D136+D139)*B133</f>
        <v>0</v>
      </c>
      <c r="C30" s="19"/>
      <c r="J30" t="b">
        <f>(C20-50000000)&gt;0</f>
        <v>1</v>
      </c>
      <c r="K30" t="b">
        <f>J5&gt;=900</f>
        <v>1</v>
      </c>
      <c r="L30" t="s">
        <v>165</v>
      </c>
      <c r="M30" t="b">
        <f>J5&lt;1000</f>
        <v>1</v>
      </c>
      <c r="N30" t="s">
        <v>166</v>
      </c>
      <c r="O30" s="18">
        <f>K30*M30</f>
        <v>1</v>
      </c>
      <c r="P30" s="1">
        <f>W31</f>
        <v>5.61969</v>
      </c>
      <c r="Q30" s="1">
        <f>O30*P30</f>
        <v>5.61969</v>
      </c>
      <c r="R30" s="1">
        <f>O29*P30</f>
        <v>0</v>
      </c>
      <c r="S30" s="18">
        <f>O30*900</f>
        <v>900</v>
      </c>
      <c r="T30" s="18">
        <f>O30*1000</f>
        <v>1000</v>
      </c>
      <c r="V30">
        <v>800000</v>
      </c>
      <c r="W30" s="1">
        <f>SUM(BY30:CX30)</f>
        <v>5.76643</v>
      </c>
      <c r="X30" s="1">
        <v>4.5378</v>
      </c>
      <c r="Y30" s="1">
        <v>5.44449</v>
      </c>
      <c r="Z30" s="1">
        <v>5.76862</v>
      </c>
      <c r="AA30" s="1">
        <v>7.1396</v>
      </c>
      <c r="AB30" s="1">
        <v>9.33842</v>
      </c>
      <c r="AC30" s="1">
        <v>4.94515</v>
      </c>
      <c r="AD30" s="1">
        <v>5.76643</v>
      </c>
      <c r="AE30" s="1">
        <v>3.43401</v>
      </c>
      <c r="AF30" s="1">
        <v>4.1195</v>
      </c>
      <c r="AG30" s="1">
        <v>4.66921</v>
      </c>
      <c r="AH30" s="1">
        <v>4.5378</v>
      </c>
      <c r="AI30" s="1">
        <v>5.07875</v>
      </c>
      <c r="AJ30" s="1">
        <v>6.86803</v>
      </c>
      <c r="AK30" s="1">
        <v>5.76643</v>
      </c>
      <c r="AL30" s="1">
        <v>4.39545</v>
      </c>
      <c r="AM30" s="1">
        <v>3.70558</v>
      </c>
      <c r="AN30" s="1">
        <v>4.59913</v>
      </c>
      <c r="AO30" s="1">
        <v>3.45372</v>
      </c>
      <c r="AP30" s="1">
        <v>5.74453</v>
      </c>
      <c r="AQ30" s="1">
        <v>3.25005</v>
      </c>
      <c r="AR30" s="1">
        <v>4.26185</v>
      </c>
      <c r="AS30" s="1">
        <v>4.8685</v>
      </c>
      <c r="AT30" s="1">
        <v>4.53342</v>
      </c>
      <c r="AU30" s="1">
        <v>3.34641</v>
      </c>
      <c r="AV30" s="1">
        <v>5.98981</v>
      </c>
      <c r="AW30" s="1">
        <v>7.29728</v>
      </c>
      <c r="AX30" s="2">
        <v>800000</v>
      </c>
      <c r="AY30" s="1">
        <f>AY29</f>
        <v>0</v>
      </c>
      <c r="AZ30" s="1">
        <f>AZ29</f>
        <v>0</v>
      </c>
      <c r="BA30" s="1">
        <f>BA29</f>
        <v>0</v>
      </c>
      <c r="BB30" s="1">
        <f>BB29</f>
        <v>0</v>
      </c>
      <c r="BC30" s="1">
        <f>BC29</f>
        <v>0</v>
      </c>
      <c r="BD30" s="1">
        <f>BD29</f>
        <v>0</v>
      </c>
      <c r="BE30" s="1">
        <f>BE29</f>
        <v>1</v>
      </c>
      <c r="BF30" s="1">
        <f>BF29</f>
        <v>0</v>
      </c>
      <c r="BG30" s="1">
        <f>BG29</f>
        <v>0</v>
      </c>
      <c r="BH30" s="1">
        <f>BH29</f>
        <v>0</v>
      </c>
      <c r="BI30" s="1">
        <f>BI29</f>
        <v>0</v>
      </c>
      <c r="BJ30" s="1">
        <f>BJ29</f>
        <v>0</v>
      </c>
      <c r="BK30" s="1">
        <f>BK29</f>
        <v>0</v>
      </c>
      <c r="BL30" s="1">
        <f>BL29</f>
        <v>0</v>
      </c>
      <c r="BM30" s="1">
        <f>BM29</f>
        <v>0</v>
      </c>
      <c r="BN30" s="1">
        <f>BN29</f>
        <v>0</v>
      </c>
      <c r="BO30" s="1">
        <f>BO29</f>
        <v>0</v>
      </c>
      <c r="BP30" s="1">
        <f>BP29</f>
        <v>0</v>
      </c>
      <c r="BQ30" s="1">
        <f>BQ29</f>
        <v>0</v>
      </c>
      <c r="BR30" s="1">
        <f>BR29</f>
        <v>0</v>
      </c>
      <c r="BS30" s="1">
        <f>BS29</f>
        <v>0</v>
      </c>
      <c r="BT30" s="1">
        <f>BT29</f>
        <v>0</v>
      </c>
      <c r="BU30" s="1">
        <f>BU29</f>
        <v>0</v>
      </c>
      <c r="BV30" s="1">
        <f>BV29</f>
        <v>0</v>
      </c>
      <c r="BW30" s="1">
        <f>BW29</f>
        <v>0</v>
      </c>
      <c r="BX30" s="1">
        <f>BX29</f>
        <v>0</v>
      </c>
      <c r="BY30" s="1">
        <f>AY30*X30</f>
        <v>0</v>
      </c>
      <c r="BZ30" s="1">
        <f>AZ30*Y30</f>
        <v>0</v>
      </c>
      <c r="CA30" s="1">
        <f>BA30*Z30</f>
        <v>0</v>
      </c>
      <c r="CB30" s="1">
        <f>BB30*AA30</f>
        <v>0</v>
      </c>
      <c r="CC30" s="1">
        <f>BC30*AB30</f>
        <v>0</v>
      </c>
      <c r="CD30" s="1">
        <f>BD30*AC30</f>
        <v>0</v>
      </c>
      <c r="CE30" s="1">
        <f>BE30*AD30</f>
        <v>5.76643</v>
      </c>
      <c r="CF30" s="1">
        <f>BF30*AE30</f>
        <v>0</v>
      </c>
      <c r="CG30" s="1">
        <f>BG30*AF30</f>
        <v>0</v>
      </c>
      <c r="CH30" s="1">
        <f>BH30*AG30</f>
        <v>0</v>
      </c>
      <c r="CI30" s="1">
        <f>BI30*AH30</f>
        <v>0</v>
      </c>
      <c r="CJ30" s="1">
        <f>BJ30*AI30</f>
        <v>0</v>
      </c>
      <c r="CK30" s="1">
        <f>BK30*AJ30</f>
        <v>0</v>
      </c>
      <c r="CL30" s="1">
        <f>BL30*AK30</f>
        <v>0</v>
      </c>
      <c r="CM30" s="1">
        <f>BM30*AL30</f>
        <v>0</v>
      </c>
      <c r="CN30" s="1">
        <f>BN30*AM30</f>
        <v>0</v>
      </c>
      <c r="CO30" s="1">
        <f>BO30*AN30</f>
        <v>0</v>
      </c>
      <c r="CP30" s="1">
        <f>BP30*AO30</f>
        <v>0</v>
      </c>
      <c r="CQ30" s="1">
        <f>BQ30*AP30</f>
        <v>0</v>
      </c>
      <c r="CR30" s="1">
        <f>BR30*AQ30</f>
        <v>0</v>
      </c>
      <c r="CS30" s="1">
        <f>BS30*AR30</f>
        <v>0</v>
      </c>
      <c r="CT30" s="1">
        <f>BT30*AS30</f>
        <v>0</v>
      </c>
      <c r="CU30" s="1">
        <f>BU30*AT30</f>
        <v>0</v>
      </c>
      <c r="CV30" s="1">
        <f>BV30*AU30</f>
        <v>0</v>
      </c>
      <c r="CW30" s="1">
        <f>BW30*AV30</f>
        <v>0</v>
      </c>
      <c r="CX30" s="1">
        <f>BX30*AW30</f>
        <v>0</v>
      </c>
    </row>
    <row r="31" spans="1:102" ht="12">
      <c r="A31" s="23" t="s">
        <v>167</v>
      </c>
      <c r="B31" s="19">
        <f>C31/$H$4</f>
        <v>0</v>
      </c>
      <c r="C31" s="34">
        <f>C27*B30</f>
        <v>0</v>
      </c>
      <c r="J31" t="b">
        <f>(C20-100000000)&gt;0</f>
        <v>1</v>
      </c>
      <c r="K31" t="b">
        <f>J5&gt;=1000</f>
        <v>0</v>
      </c>
      <c r="L31" t="s">
        <v>168</v>
      </c>
      <c r="M31" t="b">
        <f>J5&lt;1500</f>
        <v>1</v>
      </c>
      <c r="N31" t="s">
        <v>169</v>
      </c>
      <c r="O31" s="18">
        <f>K31*M31</f>
        <v>0</v>
      </c>
      <c r="P31" s="1">
        <f>W32</f>
        <v>5.55399</v>
      </c>
      <c r="Q31" s="1">
        <f>O31*P31</f>
        <v>0</v>
      </c>
      <c r="R31" s="1">
        <f>O30*P31</f>
        <v>5.55399</v>
      </c>
      <c r="S31" s="18">
        <f>O31*1000</f>
        <v>0</v>
      </c>
      <c r="T31" s="18">
        <f>O31*1500</f>
        <v>0</v>
      </c>
      <c r="V31">
        <v>900000</v>
      </c>
      <c r="W31" s="1">
        <f>SUM(BY31:CX31)</f>
        <v>5.61969</v>
      </c>
      <c r="X31" s="1">
        <v>4.41516</v>
      </c>
      <c r="Y31" s="1">
        <v>5.29776</v>
      </c>
      <c r="Z31" s="1">
        <v>5.61969</v>
      </c>
      <c r="AA31" s="1">
        <v>6.96001</v>
      </c>
      <c r="AB31" s="1">
        <v>9.0997</v>
      </c>
      <c r="AC31" s="1">
        <v>4.81594</v>
      </c>
      <c r="AD31" s="1">
        <v>5.61969</v>
      </c>
      <c r="AE31" s="1">
        <v>3.34422</v>
      </c>
      <c r="AF31" s="1">
        <v>4.01219</v>
      </c>
      <c r="AG31" s="1">
        <v>4.54875</v>
      </c>
      <c r="AH31" s="1">
        <v>4.41516</v>
      </c>
      <c r="AI31" s="1">
        <v>4.95173</v>
      </c>
      <c r="AJ31" s="1">
        <v>6.68844</v>
      </c>
      <c r="AK31" s="1">
        <v>5.61969</v>
      </c>
      <c r="AL31" s="1">
        <v>4.28157</v>
      </c>
      <c r="AM31" s="1">
        <v>3.61141</v>
      </c>
      <c r="AN31" s="1">
        <v>4.59913</v>
      </c>
      <c r="AO31" s="1">
        <v>3.4143</v>
      </c>
      <c r="AP31" s="1">
        <v>5.63064</v>
      </c>
      <c r="AQ31" s="1">
        <v>3.21939</v>
      </c>
      <c r="AR31" s="1">
        <v>4.20054</v>
      </c>
      <c r="AS31" s="1">
        <v>4.80061</v>
      </c>
      <c r="AT31" s="1">
        <v>4.41735</v>
      </c>
      <c r="AU31" s="1">
        <v>3.20844</v>
      </c>
      <c r="AV31" s="1">
        <v>5.7511</v>
      </c>
      <c r="AW31" s="1">
        <v>7.05199</v>
      </c>
      <c r="AX31" s="2">
        <v>900000</v>
      </c>
      <c r="AY31" s="1">
        <f>AY30</f>
        <v>0</v>
      </c>
      <c r="AZ31" s="1">
        <f>AZ30</f>
        <v>0</v>
      </c>
      <c r="BA31" s="1">
        <f>BA30</f>
        <v>0</v>
      </c>
      <c r="BB31" s="1">
        <f>BB30</f>
        <v>0</v>
      </c>
      <c r="BC31" s="1">
        <f>BC30</f>
        <v>0</v>
      </c>
      <c r="BD31" s="1">
        <f>BD30</f>
        <v>0</v>
      </c>
      <c r="BE31" s="1">
        <f>BE30</f>
        <v>1</v>
      </c>
      <c r="BF31" s="1">
        <f>BF30</f>
        <v>0</v>
      </c>
      <c r="BG31" s="1">
        <f>BG30</f>
        <v>0</v>
      </c>
      <c r="BH31" s="1">
        <f>BH30</f>
        <v>0</v>
      </c>
      <c r="BI31" s="1">
        <f>BI30</f>
        <v>0</v>
      </c>
      <c r="BJ31" s="1">
        <f>BJ30</f>
        <v>0</v>
      </c>
      <c r="BK31" s="1">
        <f>BK30</f>
        <v>0</v>
      </c>
      <c r="BL31" s="1">
        <f>BL30</f>
        <v>0</v>
      </c>
      <c r="BM31" s="1">
        <f>BM30</f>
        <v>0</v>
      </c>
      <c r="BN31" s="1">
        <f>BN30</f>
        <v>0</v>
      </c>
      <c r="BO31" s="1">
        <f>BO30</f>
        <v>0</v>
      </c>
      <c r="BP31" s="1">
        <f>BP30</f>
        <v>0</v>
      </c>
      <c r="BQ31" s="1">
        <f>BQ30</f>
        <v>0</v>
      </c>
      <c r="BR31" s="1">
        <f>BR30</f>
        <v>0</v>
      </c>
      <c r="BS31" s="1">
        <f>BS30</f>
        <v>0</v>
      </c>
      <c r="BT31" s="1">
        <f>BT30</f>
        <v>0</v>
      </c>
      <c r="BU31" s="1">
        <f>BU30</f>
        <v>0</v>
      </c>
      <c r="BV31" s="1">
        <f>BV30</f>
        <v>0</v>
      </c>
      <c r="BW31" s="1">
        <f>BW30</f>
        <v>0</v>
      </c>
      <c r="BX31" s="1">
        <f>BX30</f>
        <v>0</v>
      </c>
      <c r="BY31" s="1">
        <f>AY31*X31</f>
        <v>0</v>
      </c>
      <c r="BZ31" s="1">
        <f>AZ31*Y31</f>
        <v>0</v>
      </c>
      <c r="CA31" s="1">
        <f>BA31*Z31</f>
        <v>0</v>
      </c>
      <c r="CB31" s="1">
        <f>BB31*AA31</f>
        <v>0</v>
      </c>
      <c r="CC31" s="1">
        <f>BC31*AB31</f>
        <v>0</v>
      </c>
      <c r="CD31" s="1">
        <f>BD31*AC31</f>
        <v>0</v>
      </c>
      <c r="CE31" s="1">
        <f>BE31*AD31</f>
        <v>5.61969</v>
      </c>
      <c r="CF31" s="1">
        <f>BF31*AE31</f>
        <v>0</v>
      </c>
      <c r="CG31" s="1">
        <f>BG31*AF31</f>
        <v>0</v>
      </c>
      <c r="CH31" s="1">
        <f>BH31*AG31</f>
        <v>0</v>
      </c>
      <c r="CI31" s="1">
        <f>BI31*AH31</f>
        <v>0</v>
      </c>
      <c r="CJ31" s="1">
        <f>BJ31*AI31</f>
        <v>0</v>
      </c>
      <c r="CK31" s="1">
        <f>BK31*AJ31</f>
        <v>0</v>
      </c>
      <c r="CL31" s="1">
        <f>BL31*AK31</f>
        <v>0</v>
      </c>
      <c r="CM31" s="1">
        <f>BM31*AL31</f>
        <v>0</v>
      </c>
      <c r="CN31" s="1">
        <f>BN31*AM31</f>
        <v>0</v>
      </c>
      <c r="CO31" s="1">
        <f>BO31*AN31</f>
        <v>0</v>
      </c>
      <c r="CP31" s="1">
        <f>BP31*AO31</f>
        <v>0</v>
      </c>
      <c r="CQ31" s="1">
        <f>BQ31*AP31</f>
        <v>0</v>
      </c>
      <c r="CR31" s="1">
        <f>BR31*AQ31</f>
        <v>0</v>
      </c>
      <c r="CS31" s="1">
        <f>BS31*AR31</f>
        <v>0</v>
      </c>
      <c r="CT31" s="1">
        <f>BT31*AS31</f>
        <v>0</v>
      </c>
      <c r="CU31" s="1">
        <f>BU31*AT31</f>
        <v>0</v>
      </c>
      <c r="CV31" s="1">
        <f>BV31*AU31</f>
        <v>0</v>
      </c>
      <c r="CW31" s="1">
        <f>BW31*AV31</f>
        <v>0</v>
      </c>
      <c r="CX31" s="1">
        <f>BX31*AW31</f>
        <v>0</v>
      </c>
    </row>
    <row r="32" spans="1:102" ht="12">
      <c r="A32" s="23" t="s">
        <v>170</v>
      </c>
      <c r="B32" s="19">
        <f>C32/$H$4</f>
        <v>0</v>
      </c>
      <c r="C32" s="34">
        <f>C17*E10*0.002*B144*B133</f>
        <v>0</v>
      </c>
      <c r="J32" s="9"/>
      <c r="K32" t="b">
        <f>J5&gt;=1500</f>
        <v>0</v>
      </c>
      <c r="L32" t="s">
        <v>171</v>
      </c>
      <c r="M32" t="b">
        <f>J5&lt;2000</f>
        <v>1</v>
      </c>
      <c r="N32" t="s">
        <v>172</v>
      </c>
      <c r="O32" s="18">
        <f>K32*M32</f>
        <v>0</v>
      </c>
      <c r="P32" s="1">
        <f>W33</f>
        <v>5.13131</v>
      </c>
      <c r="Q32" s="1">
        <f>O32*P32</f>
        <v>0</v>
      </c>
      <c r="R32" s="1">
        <f>O31*P32</f>
        <v>0</v>
      </c>
      <c r="S32" s="18">
        <f>O32*1500</f>
        <v>0</v>
      </c>
      <c r="T32" s="18">
        <f>O32*2000</f>
        <v>0</v>
      </c>
      <c r="V32">
        <v>1000000</v>
      </c>
      <c r="W32" s="1">
        <f>SUM(BY32:CX32)</f>
        <v>5.55399</v>
      </c>
      <c r="X32" s="1">
        <v>4.36917</v>
      </c>
      <c r="Y32" s="1">
        <v>5.243</v>
      </c>
      <c r="Z32" s="1">
        <v>5.55399</v>
      </c>
      <c r="AA32" s="1">
        <v>6.87898</v>
      </c>
      <c r="AB32" s="1">
        <v>8.99458</v>
      </c>
      <c r="AC32" s="1">
        <v>4.76119</v>
      </c>
      <c r="AD32" s="1">
        <v>5.55399</v>
      </c>
      <c r="AE32" s="1">
        <v>3.30699</v>
      </c>
      <c r="AF32" s="1">
        <v>3.9662</v>
      </c>
      <c r="AG32" s="1">
        <v>4.49619</v>
      </c>
      <c r="AH32" s="1">
        <v>4.36917</v>
      </c>
      <c r="AI32" s="1">
        <v>4.89259</v>
      </c>
      <c r="AJ32" s="1">
        <v>6.61179</v>
      </c>
      <c r="AK32" s="1">
        <v>5.55399</v>
      </c>
      <c r="AL32" s="1">
        <v>4.23339</v>
      </c>
      <c r="AM32" s="1">
        <v>3.57199</v>
      </c>
      <c r="AN32" s="1">
        <v>4.59913</v>
      </c>
      <c r="AO32" s="1">
        <v>3.39897</v>
      </c>
      <c r="AP32" s="1">
        <v>5.47297</v>
      </c>
      <c r="AQ32" s="1">
        <v>3.18873</v>
      </c>
      <c r="AR32" s="1">
        <v>4.13921</v>
      </c>
      <c r="AS32" s="1">
        <v>4.72615</v>
      </c>
      <c r="AT32" s="1">
        <v>4.36479</v>
      </c>
      <c r="AU32" s="1">
        <v>3.16245</v>
      </c>
      <c r="AV32" s="1">
        <v>5.65692</v>
      </c>
      <c r="AW32" s="1">
        <v>6.75634</v>
      </c>
      <c r="AX32" s="2">
        <v>1000000</v>
      </c>
      <c r="AY32" s="1">
        <f>AY31</f>
        <v>0</v>
      </c>
      <c r="AZ32" s="1">
        <f>AZ31</f>
        <v>0</v>
      </c>
      <c r="BA32" s="1">
        <f>BA31</f>
        <v>0</v>
      </c>
      <c r="BB32" s="1">
        <f>BB31</f>
        <v>0</v>
      </c>
      <c r="BC32" s="1">
        <f>BC31</f>
        <v>0</v>
      </c>
      <c r="BD32" s="1">
        <f>BD31</f>
        <v>0</v>
      </c>
      <c r="BE32" s="1">
        <f>BE31</f>
        <v>1</v>
      </c>
      <c r="BF32" s="1">
        <f>BF31</f>
        <v>0</v>
      </c>
      <c r="BG32" s="1">
        <f>BG31</f>
        <v>0</v>
      </c>
      <c r="BH32" s="1">
        <f>BH31</f>
        <v>0</v>
      </c>
      <c r="BI32" s="1">
        <f>BI31</f>
        <v>0</v>
      </c>
      <c r="BJ32" s="1">
        <f>BJ31</f>
        <v>0</v>
      </c>
      <c r="BK32" s="1">
        <f>BK31</f>
        <v>0</v>
      </c>
      <c r="BL32" s="1">
        <f>BL31</f>
        <v>0</v>
      </c>
      <c r="BM32" s="1">
        <f>BM31</f>
        <v>0</v>
      </c>
      <c r="BN32" s="1">
        <f>BN31</f>
        <v>0</v>
      </c>
      <c r="BO32" s="1">
        <f>BO31</f>
        <v>0</v>
      </c>
      <c r="BP32" s="1">
        <f>BP31</f>
        <v>0</v>
      </c>
      <c r="BQ32" s="1">
        <f>BQ31</f>
        <v>0</v>
      </c>
      <c r="BR32" s="1">
        <f>BR31</f>
        <v>0</v>
      </c>
      <c r="BS32" s="1">
        <f>BS31</f>
        <v>0</v>
      </c>
      <c r="BT32" s="1">
        <f>BT31</f>
        <v>0</v>
      </c>
      <c r="BU32" s="1">
        <f>BU31</f>
        <v>0</v>
      </c>
      <c r="BV32" s="1">
        <f>BV31</f>
        <v>0</v>
      </c>
      <c r="BW32" s="1">
        <f>BW31</f>
        <v>0</v>
      </c>
      <c r="BX32" s="1">
        <f>BX31</f>
        <v>0</v>
      </c>
      <c r="BY32" s="1">
        <f>AY32*X32</f>
        <v>0</v>
      </c>
      <c r="BZ32" s="1">
        <f>AZ32*Y32</f>
        <v>0</v>
      </c>
      <c r="CA32" s="1">
        <f>BA32*Z32</f>
        <v>0</v>
      </c>
      <c r="CB32" s="1">
        <f>BB32*AA32</f>
        <v>0</v>
      </c>
      <c r="CC32" s="1">
        <f>BC32*AB32</f>
        <v>0</v>
      </c>
      <c r="CD32" s="1">
        <f>BD32*AC32</f>
        <v>0</v>
      </c>
      <c r="CE32" s="1">
        <f>BE32*AD32</f>
        <v>5.55399</v>
      </c>
      <c r="CF32" s="1">
        <f>BF32*AE32</f>
        <v>0</v>
      </c>
      <c r="CG32" s="1">
        <f>BG32*AF32</f>
        <v>0</v>
      </c>
      <c r="CH32" s="1">
        <f>BH32*AG32</f>
        <v>0</v>
      </c>
      <c r="CI32" s="1">
        <f>BI32*AH32</f>
        <v>0</v>
      </c>
      <c r="CJ32" s="1">
        <f>BJ32*AI32</f>
        <v>0</v>
      </c>
      <c r="CK32" s="1">
        <f>BK32*AJ32</f>
        <v>0</v>
      </c>
      <c r="CL32" s="1">
        <f>BL32*AK32</f>
        <v>0</v>
      </c>
      <c r="CM32" s="1">
        <f>BM32*AL32</f>
        <v>0</v>
      </c>
      <c r="CN32" s="1">
        <f>BN32*AM32</f>
        <v>0</v>
      </c>
      <c r="CO32" s="1">
        <f>BO32*AN32</f>
        <v>0</v>
      </c>
      <c r="CP32" s="1">
        <f>BP32*AO32</f>
        <v>0</v>
      </c>
      <c r="CQ32" s="1">
        <f>BQ32*AP32</f>
        <v>0</v>
      </c>
      <c r="CR32" s="1">
        <f>BR32*AQ32</f>
        <v>0</v>
      </c>
      <c r="CS32" s="1">
        <f>BS32*AR32</f>
        <v>0</v>
      </c>
      <c r="CT32" s="1">
        <f>BT32*AS32</f>
        <v>0</v>
      </c>
      <c r="CU32" s="1">
        <f>BU32*AT32</f>
        <v>0</v>
      </c>
      <c r="CV32" s="1">
        <f>BV32*AU32</f>
        <v>0</v>
      </c>
      <c r="CW32" s="1">
        <f>BW32*AV32</f>
        <v>0</v>
      </c>
      <c r="CX32" s="1">
        <f>BX32*AW32</f>
        <v>0</v>
      </c>
    </row>
    <row r="33" spans="1:102" ht="12">
      <c r="A33" s="39" t="s">
        <v>173</v>
      </c>
      <c r="B33" s="34"/>
      <c r="C33" s="46"/>
      <c r="J33" s="9"/>
      <c r="K33" t="b">
        <f>J5&gt;=2000</f>
        <v>0</v>
      </c>
      <c r="L33" t="s">
        <v>174</v>
      </c>
      <c r="M33" t="b">
        <f>J5&lt;3000</f>
        <v>1</v>
      </c>
      <c r="N33" t="s">
        <v>175</v>
      </c>
      <c r="O33" s="18">
        <f>K33*M33</f>
        <v>0</v>
      </c>
      <c r="P33" s="1">
        <f>W34</f>
        <v>4.87945</v>
      </c>
      <c r="Q33" s="1">
        <f>O33*P33</f>
        <v>0</v>
      </c>
      <c r="R33" s="1">
        <f>O32*P33</f>
        <v>0</v>
      </c>
      <c r="S33" s="18">
        <f>O33*2000</f>
        <v>0</v>
      </c>
      <c r="T33" s="18">
        <f>O33*3000</f>
        <v>0</v>
      </c>
      <c r="V33">
        <v>1500000</v>
      </c>
      <c r="W33" s="1">
        <f>SUM(BY33:CX33)</f>
        <v>5.13131</v>
      </c>
      <c r="X33" s="1">
        <v>4.0319</v>
      </c>
      <c r="Y33" s="1">
        <v>4.83784</v>
      </c>
      <c r="Z33" s="1">
        <v>5.12912</v>
      </c>
      <c r="AA33" s="1">
        <v>6.35117</v>
      </c>
      <c r="AB33" s="1">
        <v>8.30909</v>
      </c>
      <c r="AC33" s="1">
        <v>4.39545</v>
      </c>
      <c r="AD33" s="1">
        <v>5.13131</v>
      </c>
      <c r="AE33" s="1">
        <v>3.05294</v>
      </c>
      <c r="AF33" s="1">
        <v>3.66397</v>
      </c>
      <c r="AG33" s="1">
        <v>4.15454</v>
      </c>
      <c r="AH33" s="1">
        <v>4.0319</v>
      </c>
      <c r="AI33" s="1">
        <v>4.51809</v>
      </c>
      <c r="AJ33" s="1">
        <v>6.10589</v>
      </c>
      <c r="AK33" s="1">
        <v>5.13131</v>
      </c>
      <c r="AL33" s="1">
        <v>3.90926</v>
      </c>
      <c r="AM33" s="1">
        <v>3.29823</v>
      </c>
      <c r="AN33" s="1">
        <v>4.59913</v>
      </c>
      <c r="AO33" s="1">
        <v>3.23034</v>
      </c>
      <c r="AP33" s="1">
        <v>4.80937</v>
      </c>
      <c r="AQ33" s="1">
        <v>3.03542</v>
      </c>
      <c r="AR33" s="1">
        <v>4.04723</v>
      </c>
      <c r="AS33" s="1">
        <v>4.62322</v>
      </c>
      <c r="AT33" s="1">
        <v>4.0319</v>
      </c>
      <c r="AU33" s="1">
        <v>2.777</v>
      </c>
      <c r="AV33" s="1">
        <v>4.97144</v>
      </c>
      <c r="AW33" s="1">
        <v>6.65778</v>
      </c>
      <c r="AX33" s="2">
        <v>1500000</v>
      </c>
      <c r="AY33" s="1">
        <f>AY32</f>
        <v>0</v>
      </c>
      <c r="AZ33" s="1">
        <f>AZ32</f>
        <v>0</v>
      </c>
      <c r="BA33" s="1">
        <f>BA32</f>
        <v>0</v>
      </c>
      <c r="BB33" s="1">
        <f>BB32</f>
        <v>0</v>
      </c>
      <c r="BC33" s="1">
        <f>BC32</f>
        <v>0</v>
      </c>
      <c r="BD33" s="1">
        <f>BD32</f>
        <v>0</v>
      </c>
      <c r="BE33" s="1">
        <f>BE32</f>
        <v>1</v>
      </c>
      <c r="BF33" s="1">
        <f>BF32</f>
        <v>0</v>
      </c>
      <c r="BG33" s="1">
        <f>BG32</f>
        <v>0</v>
      </c>
      <c r="BH33" s="1">
        <f>BH32</f>
        <v>0</v>
      </c>
      <c r="BI33" s="1">
        <f>BI32</f>
        <v>0</v>
      </c>
      <c r="BJ33" s="1">
        <f>BJ32</f>
        <v>0</v>
      </c>
      <c r="BK33" s="1">
        <f>BK32</f>
        <v>0</v>
      </c>
      <c r="BL33" s="1">
        <f>BL32</f>
        <v>0</v>
      </c>
      <c r="BM33" s="1">
        <f>BM32</f>
        <v>0</v>
      </c>
      <c r="BN33" s="1">
        <f>BN32</f>
        <v>0</v>
      </c>
      <c r="BO33" s="1">
        <f>BO32</f>
        <v>0</v>
      </c>
      <c r="BP33" s="1">
        <f>BP32</f>
        <v>0</v>
      </c>
      <c r="BQ33" s="1">
        <f>BQ32</f>
        <v>0</v>
      </c>
      <c r="BR33" s="1">
        <f>BR32</f>
        <v>0</v>
      </c>
      <c r="BS33" s="1">
        <f>BS32</f>
        <v>0</v>
      </c>
      <c r="BT33" s="1">
        <f>BT32</f>
        <v>0</v>
      </c>
      <c r="BU33" s="1">
        <f>BU32</f>
        <v>0</v>
      </c>
      <c r="BV33" s="1">
        <f>BV32</f>
        <v>0</v>
      </c>
      <c r="BW33" s="1">
        <f>BW32</f>
        <v>0</v>
      </c>
      <c r="BX33" s="1">
        <f>BX32</f>
        <v>0</v>
      </c>
      <c r="BY33" s="1">
        <f>AY33*X33</f>
        <v>0</v>
      </c>
      <c r="BZ33" s="1">
        <f>AZ33*Y33</f>
        <v>0</v>
      </c>
      <c r="CA33" s="1">
        <f>BA33*Z33</f>
        <v>0</v>
      </c>
      <c r="CB33" s="1">
        <f>BB33*AA33</f>
        <v>0</v>
      </c>
      <c r="CC33" s="1">
        <f>BC33*AB33</f>
        <v>0</v>
      </c>
      <c r="CD33" s="1">
        <f>BD33*AC33</f>
        <v>0</v>
      </c>
      <c r="CE33" s="1">
        <f>BE33*AD33</f>
        <v>5.13131</v>
      </c>
      <c r="CF33" s="1">
        <f>BF33*AE33</f>
        <v>0</v>
      </c>
      <c r="CG33" s="1">
        <f>BG33*AF33</f>
        <v>0</v>
      </c>
      <c r="CH33" s="1">
        <f>BH33*AG33</f>
        <v>0</v>
      </c>
      <c r="CI33" s="1">
        <f>BI33*AH33</f>
        <v>0</v>
      </c>
      <c r="CJ33" s="1">
        <f>BJ33*AI33</f>
        <v>0</v>
      </c>
      <c r="CK33" s="1">
        <f>BK33*AJ33</f>
        <v>0</v>
      </c>
      <c r="CL33" s="1">
        <f>BL33*AK33</f>
        <v>0</v>
      </c>
      <c r="CM33" s="1">
        <f>BM33*AL33</f>
        <v>0</v>
      </c>
      <c r="CN33" s="1">
        <f>BN33*AM33</f>
        <v>0</v>
      </c>
      <c r="CO33" s="1">
        <f>BO33*AN33</f>
        <v>0</v>
      </c>
      <c r="CP33" s="1">
        <f>BP33*AO33</f>
        <v>0</v>
      </c>
      <c r="CQ33" s="1">
        <f>BQ33*AP33</f>
        <v>0</v>
      </c>
      <c r="CR33" s="1">
        <f>BR33*AQ33</f>
        <v>0</v>
      </c>
      <c r="CS33" s="1">
        <f>BS33*AR33</f>
        <v>0</v>
      </c>
      <c r="CT33" s="1">
        <f>BT33*AS33</f>
        <v>0</v>
      </c>
      <c r="CU33" s="1">
        <f>BU33*AT33</f>
        <v>0</v>
      </c>
      <c r="CV33" s="1">
        <f>BV33*AU33</f>
        <v>0</v>
      </c>
      <c r="CW33" s="1">
        <f>BW33*AV33</f>
        <v>0</v>
      </c>
      <c r="CX33" s="1">
        <f>BX33*AW33</f>
        <v>0</v>
      </c>
    </row>
    <row r="34" spans="1:102" ht="12">
      <c r="A34" s="23" t="s">
        <v>176</v>
      </c>
      <c r="B34" s="34">
        <f>C31+C32</f>
        <v>0</v>
      </c>
      <c r="C34" s="19"/>
      <c r="D34" s="19" t="s">
        <v>42</v>
      </c>
      <c r="G34" s="3" t="s">
        <v>43</v>
      </c>
      <c r="K34" t="b">
        <f>J5&gt;=3000</f>
        <v>0</v>
      </c>
      <c r="L34" t="s">
        <v>177</v>
      </c>
      <c r="M34" t="b">
        <f>J5&lt;4000</f>
        <v>1</v>
      </c>
      <c r="N34" t="s">
        <v>178</v>
      </c>
      <c r="O34" s="18">
        <f>K34*M34</f>
        <v>0</v>
      </c>
      <c r="P34" s="1">
        <f>W35</f>
        <v>4.52466</v>
      </c>
      <c r="Q34" s="1">
        <f>O34*P34</f>
        <v>0</v>
      </c>
      <c r="R34" s="1">
        <f>O33*P34</f>
        <v>0</v>
      </c>
      <c r="S34" s="18">
        <f>O34*3000</f>
        <v>0</v>
      </c>
      <c r="T34" s="18">
        <f>O34*4000</f>
        <v>0</v>
      </c>
      <c r="V34">
        <v>2000000</v>
      </c>
      <c r="W34" s="1">
        <f>SUM(BY34:CX34)</f>
        <v>4.87945</v>
      </c>
      <c r="X34" s="1">
        <v>3.83261</v>
      </c>
      <c r="Y34" s="1">
        <v>4.59913</v>
      </c>
      <c r="Z34" s="1">
        <v>4.87945</v>
      </c>
      <c r="AA34" s="1">
        <v>6.04019</v>
      </c>
      <c r="AB34" s="1">
        <v>7.89955</v>
      </c>
      <c r="AC34" s="1">
        <v>4.18082</v>
      </c>
      <c r="AD34" s="1">
        <v>4.87945</v>
      </c>
      <c r="AE34" s="1">
        <v>2.90183</v>
      </c>
      <c r="AF34" s="1">
        <v>3.48439</v>
      </c>
      <c r="AG34" s="1">
        <v>3.95087</v>
      </c>
      <c r="AH34" s="1">
        <v>3.83261</v>
      </c>
      <c r="AI34" s="1">
        <v>4.2969</v>
      </c>
      <c r="AJ34" s="1">
        <v>5.81023</v>
      </c>
      <c r="AK34" s="1">
        <v>4.87945</v>
      </c>
      <c r="AL34" s="1">
        <v>3.71872</v>
      </c>
      <c r="AM34" s="1">
        <v>3.13617</v>
      </c>
      <c r="AN34" s="1">
        <v>4.59913</v>
      </c>
      <c r="AO34" s="1">
        <v>3.11646</v>
      </c>
      <c r="AP34" s="1">
        <v>4.44801</v>
      </c>
      <c r="AQ34" s="1">
        <v>2.88212</v>
      </c>
      <c r="AR34" s="1">
        <v>3.92459</v>
      </c>
      <c r="AS34" s="1">
        <v>4.48086</v>
      </c>
      <c r="AT34" s="1">
        <v>3.83261</v>
      </c>
      <c r="AU34" s="1">
        <v>2.52295</v>
      </c>
      <c r="AV34" s="1">
        <v>4.51152</v>
      </c>
      <c r="AW34" s="1">
        <v>5.84965</v>
      </c>
      <c r="AX34" s="2">
        <v>2000000</v>
      </c>
      <c r="AY34" s="1">
        <f>AY33</f>
        <v>0</v>
      </c>
      <c r="AZ34" s="1">
        <f>AZ33</f>
        <v>0</v>
      </c>
      <c r="BA34" s="1">
        <f>BA33</f>
        <v>0</v>
      </c>
      <c r="BB34" s="1">
        <f>BB33</f>
        <v>0</v>
      </c>
      <c r="BC34" s="1">
        <f>BC33</f>
        <v>0</v>
      </c>
      <c r="BD34" s="1">
        <f>BD33</f>
        <v>0</v>
      </c>
      <c r="BE34" s="1">
        <f>BE33</f>
        <v>1</v>
      </c>
      <c r="BF34" s="1">
        <f>BF33</f>
        <v>0</v>
      </c>
      <c r="BG34" s="1">
        <f>BG33</f>
        <v>0</v>
      </c>
      <c r="BH34" s="1">
        <f>BH33</f>
        <v>0</v>
      </c>
      <c r="BI34" s="1">
        <f>BI33</f>
        <v>0</v>
      </c>
      <c r="BJ34" s="1">
        <f>BJ33</f>
        <v>0</v>
      </c>
      <c r="BK34" s="1">
        <f>BK33</f>
        <v>0</v>
      </c>
      <c r="BL34" s="1">
        <f>BL33</f>
        <v>0</v>
      </c>
      <c r="BM34" s="1">
        <f>BM33</f>
        <v>0</v>
      </c>
      <c r="BN34" s="1">
        <f>BN33</f>
        <v>0</v>
      </c>
      <c r="BO34" s="1">
        <f>BO33</f>
        <v>0</v>
      </c>
      <c r="BP34" s="1">
        <f>BP33</f>
        <v>0</v>
      </c>
      <c r="BQ34" s="1">
        <f>BQ33</f>
        <v>0</v>
      </c>
      <c r="BR34" s="1">
        <f>BR33</f>
        <v>0</v>
      </c>
      <c r="BS34" s="1">
        <f>BS33</f>
        <v>0</v>
      </c>
      <c r="BT34" s="1">
        <f>BT33</f>
        <v>0</v>
      </c>
      <c r="BU34" s="1">
        <f>BU33</f>
        <v>0</v>
      </c>
      <c r="BV34" s="1">
        <f>BV33</f>
        <v>0</v>
      </c>
      <c r="BW34" s="1">
        <f>BW33</f>
        <v>0</v>
      </c>
      <c r="BX34" s="1">
        <f>BX33</f>
        <v>0</v>
      </c>
      <c r="BY34" s="1">
        <f>AY34*X34</f>
        <v>0</v>
      </c>
      <c r="BZ34" s="1">
        <f>AZ34*Y34</f>
        <v>0</v>
      </c>
      <c r="CA34" s="1">
        <f>BA34*Z34</f>
        <v>0</v>
      </c>
      <c r="CB34" s="1">
        <f>BB34*AA34</f>
        <v>0</v>
      </c>
      <c r="CC34" s="1">
        <f>BC34*AB34</f>
        <v>0</v>
      </c>
      <c r="CD34" s="1">
        <f>BD34*AC34</f>
        <v>0</v>
      </c>
      <c r="CE34" s="1">
        <f>BE34*AD34</f>
        <v>4.87945</v>
      </c>
      <c r="CF34" s="1">
        <f>BF34*AE34</f>
        <v>0</v>
      </c>
      <c r="CG34" s="1">
        <f>BG34*AF34</f>
        <v>0</v>
      </c>
      <c r="CH34" s="1">
        <f>BH34*AG34</f>
        <v>0</v>
      </c>
      <c r="CI34" s="1">
        <f>BI34*AH34</f>
        <v>0</v>
      </c>
      <c r="CJ34" s="1">
        <f>BJ34*AI34</f>
        <v>0</v>
      </c>
      <c r="CK34" s="1">
        <f>BK34*AJ34</f>
        <v>0</v>
      </c>
      <c r="CL34" s="1">
        <f>BL34*AK34</f>
        <v>0</v>
      </c>
      <c r="CM34" s="1">
        <f>BM34*AL34</f>
        <v>0</v>
      </c>
      <c r="CN34" s="1">
        <f>BN34*AM34</f>
        <v>0</v>
      </c>
      <c r="CO34" s="1">
        <f>BO34*AN34</f>
        <v>0</v>
      </c>
      <c r="CP34" s="1">
        <f>BP34*AO34</f>
        <v>0</v>
      </c>
      <c r="CQ34" s="1">
        <f>BQ34*AP34</f>
        <v>0</v>
      </c>
      <c r="CR34" s="1">
        <f>BR34*AQ34</f>
        <v>0</v>
      </c>
      <c r="CS34" s="1">
        <f>BS34*AR34</f>
        <v>0</v>
      </c>
      <c r="CT34" s="1">
        <f>BT34*AS34</f>
        <v>0</v>
      </c>
      <c r="CU34" s="1">
        <f>BU34*AT34</f>
        <v>0</v>
      </c>
      <c r="CV34" s="1">
        <f>BV34*AU34</f>
        <v>0</v>
      </c>
      <c r="CW34" s="1">
        <f>BW34*AV34</f>
        <v>0</v>
      </c>
      <c r="CX34" s="1">
        <f>BX34*AW34</f>
        <v>0</v>
      </c>
    </row>
    <row r="35" spans="1:102" ht="12">
      <c r="A35" t="s">
        <v>179</v>
      </c>
      <c r="B35" s="47">
        <v>1.83965</v>
      </c>
      <c r="C35" s="48">
        <f>H35/H$4</f>
        <v>2582.2844954474326</v>
      </c>
      <c r="D35" s="49">
        <f>G35/$H$4</f>
        <v>0</v>
      </c>
      <c r="E35" s="15"/>
      <c r="F35" s="15"/>
      <c r="G35" s="15">
        <f>B121*B35*H35/100</f>
        <v>0</v>
      </c>
      <c r="H35" s="15">
        <f>(C20-H39-H38-H37-H36)</f>
        <v>5000000</v>
      </c>
      <c r="I35" s="15"/>
      <c r="K35" t="b">
        <f>J5&gt;=4000</f>
        <v>0</v>
      </c>
      <c r="L35" t="s">
        <v>180</v>
      </c>
      <c r="M35" t="b">
        <f>J5&lt;5000</f>
        <v>1</v>
      </c>
      <c r="N35" t="s">
        <v>181</v>
      </c>
      <c r="O35" s="18">
        <f>K35*M35</f>
        <v>0</v>
      </c>
      <c r="P35" s="1">
        <f>W36</f>
        <v>4.27938</v>
      </c>
      <c r="Q35" s="1">
        <f>O35*P35</f>
        <v>0</v>
      </c>
      <c r="R35" s="1">
        <f>O34*P35</f>
        <v>0</v>
      </c>
      <c r="S35" s="18">
        <f>O35*4000</f>
        <v>0</v>
      </c>
      <c r="T35" s="18">
        <f>O35*5000</f>
        <v>0</v>
      </c>
      <c r="V35">
        <v>3000000</v>
      </c>
      <c r="W35" s="1">
        <f>SUM(BY35:CX35)</f>
        <v>4.52466</v>
      </c>
      <c r="X35" s="1">
        <v>3.526</v>
      </c>
      <c r="Y35" s="1">
        <v>4.2312</v>
      </c>
      <c r="Z35" s="1">
        <v>4.52466</v>
      </c>
      <c r="AA35" s="1">
        <v>5.60436</v>
      </c>
      <c r="AB35" s="1">
        <v>7.32794</v>
      </c>
      <c r="AC35" s="1">
        <v>3.8786</v>
      </c>
      <c r="AD35" s="1">
        <v>4.52466</v>
      </c>
      <c r="AE35" s="1">
        <v>2.69377</v>
      </c>
      <c r="AF35" s="1">
        <v>3.23034</v>
      </c>
      <c r="AG35" s="1">
        <v>3.66397</v>
      </c>
      <c r="AH35" s="1">
        <v>3.526</v>
      </c>
      <c r="AI35" s="1">
        <v>3.98591</v>
      </c>
      <c r="AJ35" s="1">
        <v>5.38536</v>
      </c>
      <c r="AK35" s="1">
        <v>4.52466</v>
      </c>
      <c r="AL35" s="1">
        <v>3.44934</v>
      </c>
      <c r="AM35" s="1">
        <v>2.9084</v>
      </c>
      <c r="AN35" s="1">
        <v>4.59913</v>
      </c>
      <c r="AO35" s="1">
        <v>3.08141</v>
      </c>
      <c r="AP35" s="1">
        <v>4.34946</v>
      </c>
      <c r="AQ35" s="1">
        <v>2.72811</v>
      </c>
      <c r="AR35" s="1">
        <v>3.74062</v>
      </c>
      <c r="AS35" s="1">
        <v>4.27281</v>
      </c>
      <c r="AT35" s="1">
        <v>3.55666</v>
      </c>
      <c r="AU35" s="1">
        <v>2.40688</v>
      </c>
      <c r="AV35" s="1">
        <v>4.31004</v>
      </c>
      <c r="AW35" s="1">
        <v>5.30871</v>
      </c>
      <c r="AX35" s="2">
        <v>3000000</v>
      </c>
      <c r="AY35" s="1">
        <f>AY34</f>
        <v>0</v>
      </c>
      <c r="AZ35" s="1">
        <f>AZ34</f>
        <v>0</v>
      </c>
      <c r="BA35" s="1">
        <f>BA34</f>
        <v>0</v>
      </c>
      <c r="BB35" s="1">
        <f>BB34</f>
        <v>0</v>
      </c>
      <c r="BC35" s="1">
        <f>BC34</f>
        <v>0</v>
      </c>
      <c r="BD35" s="1">
        <f>BD34</f>
        <v>0</v>
      </c>
      <c r="BE35" s="1">
        <f>BE34</f>
        <v>1</v>
      </c>
      <c r="BF35" s="1">
        <f>BF34</f>
        <v>0</v>
      </c>
      <c r="BG35" s="1">
        <f>BG34</f>
        <v>0</v>
      </c>
      <c r="BH35" s="1">
        <f>BH34</f>
        <v>0</v>
      </c>
      <c r="BI35" s="1">
        <f>BI34</f>
        <v>0</v>
      </c>
      <c r="BJ35" s="1">
        <f>BJ34</f>
        <v>0</v>
      </c>
      <c r="BK35" s="1">
        <f>BK34</f>
        <v>0</v>
      </c>
      <c r="BL35" s="1">
        <f>BL34</f>
        <v>0</v>
      </c>
      <c r="BM35" s="1">
        <f>BM34</f>
        <v>0</v>
      </c>
      <c r="BN35" s="1">
        <f>BN34</f>
        <v>0</v>
      </c>
      <c r="BO35" s="1">
        <f>BO34</f>
        <v>0</v>
      </c>
      <c r="BP35" s="1">
        <f>BP34</f>
        <v>0</v>
      </c>
      <c r="BQ35" s="1">
        <f>BQ34</f>
        <v>0</v>
      </c>
      <c r="BR35" s="1">
        <f>BR34</f>
        <v>0</v>
      </c>
      <c r="BS35" s="1">
        <f>BS34</f>
        <v>0</v>
      </c>
      <c r="BT35" s="1">
        <f>BT34</f>
        <v>0</v>
      </c>
      <c r="BU35" s="1">
        <f>BU34</f>
        <v>0</v>
      </c>
      <c r="BV35" s="1">
        <f>BV34</f>
        <v>0</v>
      </c>
      <c r="BW35" s="1">
        <f>BW34</f>
        <v>0</v>
      </c>
      <c r="BX35" s="1">
        <f>BX34</f>
        <v>0</v>
      </c>
      <c r="BY35" s="1">
        <f>AY35*X35</f>
        <v>0</v>
      </c>
      <c r="BZ35" s="1">
        <f>AZ35*Y35</f>
        <v>0</v>
      </c>
      <c r="CA35" s="1">
        <f>BA35*Z35</f>
        <v>0</v>
      </c>
      <c r="CB35" s="1">
        <f>BB35*AA35</f>
        <v>0</v>
      </c>
      <c r="CC35" s="1">
        <f>BC35*AB35</f>
        <v>0</v>
      </c>
      <c r="CD35" s="1">
        <f>BD35*AC35</f>
        <v>0</v>
      </c>
      <c r="CE35" s="1">
        <f>BE35*AD35</f>
        <v>4.52466</v>
      </c>
      <c r="CF35" s="1">
        <f>BF35*AE35</f>
        <v>0</v>
      </c>
      <c r="CG35" s="1">
        <f>BG35*AF35</f>
        <v>0</v>
      </c>
      <c r="CH35" s="1">
        <f>BH35*AG35</f>
        <v>0</v>
      </c>
      <c r="CI35" s="1">
        <f>BI35*AH35</f>
        <v>0</v>
      </c>
      <c r="CJ35" s="1">
        <f>BJ35*AI35</f>
        <v>0</v>
      </c>
      <c r="CK35" s="1">
        <f>BK35*AJ35</f>
        <v>0</v>
      </c>
      <c r="CL35" s="1">
        <f>BL35*AK35</f>
        <v>0</v>
      </c>
      <c r="CM35" s="1">
        <f>BM35*AL35</f>
        <v>0</v>
      </c>
      <c r="CN35" s="1">
        <f>BN35*AM35</f>
        <v>0</v>
      </c>
      <c r="CO35" s="1">
        <f>BO35*AN35</f>
        <v>0</v>
      </c>
      <c r="CP35" s="1">
        <f>BP35*AO35</f>
        <v>0</v>
      </c>
      <c r="CQ35" s="1">
        <f>BQ35*AP35</f>
        <v>0</v>
      </c>
      <c r="CR35" s="1">
        <f>BR35*AQ35</f>
        <v>0</v>
      </c>
      <c r="CS35" s="1">
        <f>BS35*AR35</f>
        <v>0</v>
      </c>
      <c r="CT35" s="1">
        <f>BT35*AS35</f>
        <v>0</v>
      </c>
      <c r="CU35" s="1">
        <f>BU35*AT35</f>
        <v>0</v>
      </c>
      <c r="CV35" s="1">
        <f>BV35*AU35</f>
        <v>0</v>
      </c>
      <c r="CW35" s="1">
        <f>BW35*AV35</f>
        <v>0</v>
      </c>
      <c r="CX35" s="1">
        <f>BX35*AW35</f>
        <v>0</v>
      </c>
    </row>
    <row r="36" spans="1:102" ht="12.75">
      <c r="A36" t="s">
        <v>182</v>
      </c>
      <c r="B36" s="47">
        <v>1.686346</v>
      </c>
      <c r="C36" s="48">
        <f>H36/H$4</f>
        <v>7746.853486342297</v>
      </c>
      <c r="D36" s="49">
        <f>G36/$H$4</f>
        <v>0</v>
      </c>
      <c r="E36" s="15"/>
      <c r="F36" s="15"/>
      <c r="G36" s="15">
        <f>B121*B36*H36/100</f>
        <v>0</v>
      </c>
      <c r="H36" s="15">
        <f>(C20-H39-H38-H37-5000000)*J28</f>
        <v>15000000</v>
      </c>
      <c r="I36" s="15"/>
      <c r="K36" t="b">
        <f>J5&gt;=5000</f>
        <v>0</v>
      </c>
      <c r="L36" t="s">
        <v>183</v>
      </c>
      <c r="M36" s="18" t="b">
        <f>TRUE</f>
        <v>1</v>
      </c>
      <c r="O36" s="18">
        <f>K36*M36</f>
        <v>0</v>
      </c>
      <c r="P36" s="1">
        <f>W37</f>
        <v>4.10198</v>
      </c>
      <c r="Q36" s="1">
        <f>O36*P36</f>
        <v>0</v>
      </c>
      <c r="R36" s="1">
        <f>O35*P36</f>
        <v>0</v>
      </c>
      <c r="S36" s="18">
        <f>O36*5000</f>
        <v>0</v>
      </c>
      <c r="T36" s="18">
        <f>9999999*O36</f>
        <v>0</v>
      </c>
      <c r="V36">
        <v>4000000</v>
      </c>
      <c r="W36" s="1">
        <f>SUM(BY36:CX36)</f>
        <v>4.27938</v>
      </c>
      <c r="X36" s="1">
        <v>3.36174</v>
      </c>
      <c r="Y36" s="1">
        <v>4.03628</v>
      </c>
      <c r="Z36" s="1">
        <v>4.27938</v>
      </c>
      <c r="AA36" s="1">
        <v>5.29776</v>
      </c>
      <c r="AB36" s="1">
        <v>6.93154</v>
      </c>
      <c r="AC36" s="1">
        <v>3.66835</v>
      </c>
      <c r="AD36" s="1">
        <v>4.27938</v>
      </c>
      <c r="AE36" s="1">
        <v>2.54704</v>
      </c>
      <c r="AF36" s="1">
        <v>3.05513</v>
      </c>
      <c r="AG36" s="1">
        <v>3.46467</v>
      </c>
      <c r="AH36" s="1">
        <v>3.36174</v>
      </c>
      <c r="AI36" s="1">
        <v>3.77128</v>
      </c>
      <c r="AJ36" s="1">
        <v>5.09408</v>
      </c>
      <c r="AK36" s="1">
        <v>4.27938</v>
      </c>
      <c r="AL36" s="1">
        <v>3.261</v>
      </c>
      <c r="AM36" s="1">
        <v>2.74853</v>
      </c>
      <c r="AN36" s="1">
        <v>4.59913</v>
      </c>
      <c r="AO36" s="1">
        <v>3.00476</v>
      </c>
      <c r="AP36" s="1">
        <v>4.29252</v>
      </c>
      <c r="AQ36" s="1">
        <v>2.63683</v>
      </c>
      <c r="AR36" s="1">
        <v>3.55666</v>
      </c>
      <c r="AS36" s="1">
        <v>4.06475</v>
      </c>
      <c r="AT36" s="1">
        <v>3.36174</v>
      </c>
      <c r="AU36" s="1">
        <v>2.39374</v>
      </c>
      <c r="AV36" s="1">
        <v>4.29252</v>
      </c>
      <c r="AW36" s="1">
        <v>5.06342</v>
      </c>
      <c r="AX36" s="2">
        <v>4000000</v>
      </c>
      <c r="AY36" s="1">
        <f>AY35</f>
        <v>0</v>
      </c>
      <c r="AZ36" s="1">
        <f>AZ35</f>
        <v>0</v>
      </c>
      <c r="BA36" s="1">
        <f>BA35</f>
        <v>0</v>
      </c>
      <c r="BB36" s="1">
        <f>BB35</f>
        <v>0</v>
      </c>
      <c r="BC36" s="1">
        <f>BC35</f>
        <v>0</v>
      </c>
      <c r="BD36" s="1">
        <f>BD35</f>
        <v>0</v>
      </c>
      <c r="BE36" s="1">
        <f>BE35</f>
        <v>1</v>
      </c>
      <c r="BF36" s="1">
        <f>BF35</f>
        <v>0</v>
      </c>
      <c r="BG36" s="1">
        <f>BG35</f>
        <v>0</v>
      </c>
      <c r="BH36" s="1">
        <f>BH35</f>
        <v>0</v>
      </c>
      <c r="BI36" s="1">
        <f>BI35</f>
        <v>0</v>
      </c>
      <c r="BJ36" s="1">
        <f>BJ35</f>
        <v>0</v>
      </c>
      <c r="BK36" s="1">
        <f>BK35</f>
        <v>0</v>
      </c>
      <c r="BL36" s="1">
        <f>BL35</f>
        <v>0</v>
      </c>
      <c r="BM36" s="1">
        <f>BM35</f>
        <v>0</v>
      </c>
      <c r="BN36" s="1">
        <f>BN35</f>
        <v>0</v>
      </c>
      <c r="BO36" s="1">
        <f>BO35</f>
        <v>0</v>
      </c>
      <c r="BP36" s="1">
        <f>BP35</f>
        <v>0</v>
      </c>
      <c r="BQ36" s="1">
        <f>BQ35</f>
        <v>0</v>
      </c>
      <c r="BR36" s="1">
        <f>BR35</f>
        <v>0</v>
      </c>
      <c r="BS36" s="1">
        <f>BS35</f>
        <v>0</v>
      </c>
      <c r="BT36" s="1">
        <f>BT35</f>
        <v>0</v>
      </c>
      <c r="BU36" s="1">
        <f>BU35</f>
        <v>0</v>
      </c>
      <c r="BV36" s="1">
        <f>BV35</f>
        <v>0</v>
      </c>
      <c r="BW36" s="1">
        <f>BW35</f>
        <v>0</v>
      </c>
      <c r="BX36" s="1">
        <f>BX35</f>
        <v>0</v>
      </c>
      <c r="BY36" s="1">
        <f>AY36*X36</f>
        <v>0</v>
      </c>
      <c r="BZ36" s="1">
        <f>AZ36*Y36</f>
        <v>0</v>
      </c>
      <c r="CA36" s="1">
        <f>BA36*Z36</f>
        <v>0</v>
      </c>
      <c r="CB36" s="1">
        <f>BB36*AA36</f>
        <v>0</v>
      </c>
      <c r="CC36" s="1">
        <f>BC36*AB36</f>
        <v>0</v>
      </c>
      <c r="CD36" s="1">
        <f>BD36*AC36</f>
        <v>0</v>
      </c>
      <c r="CE36" s="1">
        <f>BE36*AD36</f>
        <v>4.27938</v>
      </c>
      <c r="CF36" s="1">
        <f>BF36*AE36</f>
        <v>0</v>
      </c>
      <c r="CG36" s="1">
        <f>BG36*AF36</f>
        <v>0</v>
      </c>
      <c r="CH36" s="1">
        <f>BH36*AG36</f>
        <v>0</v>
      </c>
      <c r="CI36" s="1">
        <f>BI36*AH36</f>
        <v>0</v>
      </c>
      <c r="CJ36" s="1">
        <f>BJ36*AI36</f>
        <v>0</v>
      </c>
      <c r="CK36" s="1">
        <f>BK36*AJ36</f>
        <v>0</v>
      </c>
      <c r="CL36" s="1">
        <f>BL36*AK36</f>
        <v>0</v>
      </c>
      <c r="CM36" s="1">
        <f>BM36*AL36</f>
        <v>0</v>
      </c>
      <c r="CN36" s="1">
        <f>BN36*AM36</f>
        <v>0</v>
      </c>
      <c r="CO36" s="1">
        <f>BO36*AN36</f>
        <v>0</v>
      </c>
      <c r="CP36" s="1">
        <f>BP36*AO36</f>
        <v>0</v>
      </c>
      <c r="CQ36" s="1">
        <f>BQ36*AP36</f>
        <v>0</v>
      </c>
      <c r="CR36" s="1">
        <f>BR36*AQ36</f>
        <v>0</v>
      </c>
      <c r="CS36" s="1">
        <f>BS36*AR36</f>
        <v>0</v>
      </c>
      <c r="CT36" s="1">
        <f>BT36*AS36</f>
        <v>0</v>
      </c>
      <c r="CU36" s="1">
        <f>BU36*AT36</f>
        <v>0</v>
      </c>
      <c r="CV36" s="1">
        <f>BV36*AU36</f>
        <v>0</v>
      </c>
      <c r="CW36" s="1">
        <f>BW36*AV36</f>
        <v>0</v>
      </c>
      <c r="CX36" s="1">
        <f>BX36*AW36</f>
        <v>0</v>
      </c>
    </row>
    <row r="37" spans="1:102" ht="12">
      <c r="A37" t="s">
        <v>184</v>
      </c>
      <c r="B37" s="47">
        <v>1.533042</v>
      </c>
      <c r="C37" s="48">
        <f>H37/H$4</f>
        <v>15493.706972684595</v>
      </c>
      <c r="D37" s="49">
        <f>G37/$H$4</f>
        <v>0</v>
      </c>
      <c r="E37" s="15"/>
      <c r="F37" s="15"/>
      <c r="G37" s="15">
        <f>B121*B37*H37/100</f>
        <v>0</v>
      </c>
      <c r="H37" s="50">
        <f>(C20-H39-H38-20000000)*J29</f>
        <v>30000000</v>
      </c>
      <c r="I37" s="15"/>
      <c r="L37" t="s">
        <v>185</v>
      </c>
      <c r="P37" s="1">
        <f>W38</f>
        <v>3.41832</v>
      </c>
      <c r="R37" s="1">
        <f>Q36</f>
        <v>0</v>
      </c>
      <c r="S37" s="18">
        <f>O37*9999999</f>
        <v>0</v>
      </c>
      <c r="V37">
        <v>5000000</v>
      </c>
      <c r="W37" s="1">
        <f>SUM(BY37:CX37)</f>
        <v>4.10198</v>
      </c>
      <c r="X37" s="1">
        <v>3.21938</v>
      </c>
      <c r="Y37" s="1">
        <v>3.86327</v>
      </c>
      <c r="Z37" s="1">
        <v>4.10198</v>
      </c>
      <c r="AA37" s="1">
        <v>5.07656</v>
      </c>
      <c r="AB37" s="1">
        <v>6.64026</v>
      </c>
      <c r="AC37" s="1">
        <v>3.51286</v>
      </c>
      <c r="AD37" s="1">
        <v>4.10198</v>
      </c>
      <c r="AE37" s="1">
        <v>2.43973</v>
      </c>
      <c r="AF37" s="1">
        <v>2.9281</v>
      </c>
      <c r="AG37" s="1">
        <v>3.32014</v>
      </c>
      <c r="AH37" s="1">
        <v>3.21938</v>
      </c>
      <c r="AI37" s="1">
        <v>3.61141</v>
      </c>
      <c r="AJ37" s="1">
        <v>4.87945</v>
      </c>
      <c r="AK37" s="1">
        <v>4.10198</v>
      </c>
      <c r="AL37" s="1">
        <v>3.12302</v>
      </c>
      <c r="AM37" s="1">
        <v>2.63683</v>
      </c>
      <c r="AN37" s="1">
        <v>4.59913</v>
      </c>
      <c r="AO37" s="1">
        <v>2.94782</v>
      </c>
      <c r="AP37" s="1">
        <v>4.23558</v>
      </c>
      <c r="AQ37" s="1">
        <v>2.51419</v>
      </c>
      <c r="AR37" s="1">
        <v>3.3727</v>
      </c>
      <c r="AS37" s="1">
        <v>3.85013</v>
      </c>
      <c r="AT37" s="1">
        <v>3.22158</v>
      </c>
      <c r="AU37" s="1">
        <v>2.36964</v>
      </c>
      <c r="AV37" s="1">
        <v>4.24214</v>
      </c>
      <c r="AW37" s="1">
        <v>5.02837</v>
      </c>
      <c r="AX37" s="2">
        <v>5000000</v>
      </c>
      <c r="AY37" s="1">
        <f>AY36</f>
        <v>0</v>
      </c>
      <c r="AZ37" s="1">
        <f>AZ36</f>
        <v>0</v>
      </c>
      <c r="BA37" s="1">
        <f>BA36</f>
        <v>0</v>
      </c>
      <c r="BB37" s="1">
        <f>BB36</f>
        <v>0</v>
      </c>
      <c r="BC37" s="1">
        <f>BC36</f>
        <v>0</v>
      </c>
      <c r="BD37" s="1">
        <f>BD36</f>
        <v>0</v>
      </c>
      <c r="BE37" s="1">
        <f>BE36</f>
        <v>1</v>
      </c>
      <c r="BF37" s="1">
        <f>BF36</f>
        <v>0</v>
      </c>
      <c r="BG37" s="1">
        <f>BG36</f>
        <v>0</v>
      </c>
      <c r="BH37" s="1">
        <f>BH36</f>
        <v>0</v>
      </c>
      <c r="BI37" s="1">
        <f>BI36</f>
        <v>0</v>
      </c>
      <c r="BJ37" s="1">
        <f>BJ36</f>
        <v>0</v>
      </c>
      <c r="BK37" s="1">
        <f>BK36</f>
        <v>0</v>
      </c>
      <c r="BL37" s="1">
        <f>BL36</f>
        <v>0</v>
      </c>
      <c r="BM37" s="1">
        <f>BM36</f>
        <v>0</v>
      </c>
      <c r="BN37" s="1">
        <f>BN36</f>
        <v>0</v>
      </c>
      <c r="BO37" s="1">
        <f>BO36</f>
        <v>0</v>
      </c>
      <c r="BP37" s="1">
        <f>BP36</f>
        <v>0</v>
      </c>
      <c r="BQ37" s="1">
        <f>BQ36</f>
        <v>0</v>
      </c>
      <c r="BR37" s="1">
        <f>BR36</f>
        <v>0</v>
      </c>
      <c r="BS37" s="1">
        <f>BS36</f>
        <v>0</v>
      </c>
      <c r="BT37" s="1">
        <f>BT36</f>
        <v>0</v>
      </c>
      <c r="BU37" s="1">
        <f>BU36</f>
        <v>0</v>
      </c>
      <c r="BV37" s="1">
        <f>BV36</f>
        <v>0</v>
      </c>
      <c r="BW37" s="1">
        <f>BW36</f>
        <v>0</v>
      </c>
      <c r="BX37" s="1">
        <f>BX36</f>
        <v>0</v>
      </c>
      <c r="BY37" s="1">
        <f>AY37*X37</f>
        <v>0</v>
      </c>
      <c r="BZ37" s="1">
        <f>AZ37*Y37</f>
        <v>0</v>
      </c>
      <c r="CA37" s="1">
        <f>BA37*Z37</f>
        <v>0</v>
      </c>
      <c r="CB37" s="1">
        <f>BB37*AA37</f>
        <v>0</v>
      </c>
      <c r="CC37" s="1">
        <f>BC37*AB37</f>
        <v>0</v>
      </c>
      <c r="CD37" s="1">
        <f>BD37*AC37</f>
        <v>0</v>
      </c>
      <c r="CE37" s="1">
        <f>BE37*AD37</f>
        <v>4.10198</v>
      </c>
      <c r="CF37" s="1">
        <f>BF37*AE37</f>
        <v>0</v>
      </c>
      <c r="CG37" s="1">
        <f>BG37*AF37</f>
        <v>0</v>
      </c>
      <c r="CH37" s="1">
        <f>BH37*AG37</f>
        <v>0</v>
      </c>
      <c r="CI37" s="1">
        <f>BI37*AH37</f>
        <v>0</v>
      </c>
      <c r="CJ37" s="1">
        <f>BJ37*AI37</f>
        <v>0</v>
      </c>
      <c r="CK37" s="1">
        <f>BK37*AJ37</f>
        <v>0</v>
      </c>
      <c r="CL37" s="1">
        <f>BL37*AK37</f>
        <v>0</v>
      </c>
      <c r="CM37" s="1">
        <f>BM37*AL37</f>
        <v>0</v>
      </c>
      <c r="CN37" s="1">
        <f>BN37*AM37</f>
        <v>0</v>
      </c>
      <c r="CO37" s="1">
        <f>BO37*AN37</f>
        <v>0</v>
      </c>
      <c r="CP37" s="1">
        <f>BP37*AO37</f>
        <v>0</v>
      </c>
      <c r="CQ37" s="1">
        <f>BQ37*AP37</f>
        <v>0</v>
      </c>
      <c r="CR37" s="1">
        <f>BR37*AQ37</f>
        <v>0</v>
      </c>
      <c r="CS37" s="1">
        <f>BS37*AR37</f>
        <v>0</v>
      </c>
      <c r="CT37" s="1">
        <f>BT37*AS37</f>
        <v>0</v>
      </c>
      <c r="CU37" s="1">
        <f>BU37*AT37</f>
        <v>0</v>
      </c>
      <c r="CV37" s="1">
        <f>BV37*AU37</f>
        <v>0</v>
      </c>
      <c r="CW37" s="1">
        <f>BW37*AV37</f>
        <v>0</v>
      </c>
      <c r="CX37" s="1">
        <f>BX37*AW37</f>
        <v>0</v>
      </c>
    </row>
    <row r="38" spans="1:102" ht="12">
      <c r="A38" t="s">
        <v>186</v>
      </c>
      <c r="B38" s="47">
        <v>1.226434</v>
      </c>
      <c r="C38" s="48">
        <f>H38/H$4</f>
        <v>25822.844954474323</v>
      </c>
      <c r="D38" s="49">
        <f>G38/$H$4</f>
        <v>0</v>
      </c>
      <c r="E38" s="15"/>
      <c r="F38" s="15"/>
      <c r="G38" s="15">
        <f>B121*B38*H38/100</f>
        <v>0</v>
      </c>
      <c r="H38" s="15">
        <f>(C20-H39-50000000)*J30</f>
        <v>50000000</v>
      </c>
      <c r="I38" s="15"/>
      <c r="J38" s="9"/>
      <c r="K38" t="s">
        <v>187</v>
      </c>
      <c r="L38" s="1">
        <f>Q9+Q10+Q11+Q12+Q13+Q14+Q15+Q16+Q17+Q18+Q19+Q20+Q21+Q22+Q23+Q24+Q25+Q26+Q27+Q28+Q29+Q30+Q31+Q32+Q33+Q34+Q35+Q36</f>
        <v>5.61969</v>
      </c>
      <c r="M38" t="s">
        <v>188</v>
      </c>
      <c r="R38" s="1" t="s">
        <v>187</v>
      </c>
      <c r="S38" s="18">
        <f>SUM(S9:S37)</f>
        <v>900</v>
      </c>
      <c r="V38" t="s">
        <v>189</v>
      </c>
      <c r="W38" s="1">
        <f>SUM(BY38:CX38)</f>
        <v>3.41832</v>
      </c>
      <c r="X38" s="1">
        <v>2.68282</v>
      </c>
      <c r="Y38" s="1">
        <v>3.21939</v>
      </c>
      <c r="Z38" s="1">
        <v>3.41832</v>
      </c>
      <c r="AA38" s="1">
        <v>4.23047</v>
      </c>
      <c r="AB38" s="1">
        <v>5.53355</v>
      </c>
      <c r="AC38" s="1">
        <v>2.92738</v>
      </c>
      <c r="AD38" s="1">
        <v>3.41832</v>
      </c>
      <c r="AE38" s="1">
        <f>AE37/1.2</f>
        <v>2.0331083333333333</v>
      </c>
      <c r="AF38" s="1">
        <f>AF37/1.2</f>
        <v>2.4400833333333334</v>
      </c>
      <c r="AG38" s="1">
        <f>AG37/1.2</f>
        <v>2.766783333333333</v>
      </c>
      <c r="AH38" s="1">
        <f>AH37/1.2</f>
        <v>2.682816666666667</v>
      </c>
      <c r="AI38" s="1">
        <v>3.00951</v>
      </c>
      <c r="AJ38" s="1">
        <v>4.06621</v>
      </c>
      <c r="AK38" s="1">
        <f>AK37/1.2</f>
        <v>3.418316666666667</v>
      </c>
      <c r="AL38" s="1">
        <f>AL37/1.2</f>
        <v>2.602516666666667</v>
      </c>
      <c r="AM38" s="1">
        <f>AM37/1.2</f>
        <v>2.1973583333333333</v>
      </c>
      <c r="AN38" s="1">
        <f>AN37/1.2</f>
        <v>3.8326083333333334</v>
      </c>
      <c r="AO38" s="1">
        <f>AO37/1.2</f>
        <v>2.456516666666667</v>
      </c>
      <c r="AP38" s="1">
        <f>AP37/1.2</f>
        <v>3.5296499999999997</v>
      </c>
      <c r="AQ38" s="1">
        <f>AQ37/1.2</f>
        <v>2.0951583333333335</v>
      </c>
      <c r="AR38" s="1">
        <f>AR37/1.2</f>
        <v>2.8105833333333337</v>
      </c>
      <c r="AS38" s="1">
        <f>AS37/1.2</f>
        <v>3.208441666666667</v>
      </c>
      <c r="AT38" s="1">
        <v>2.68465</v>
      </c>
      <c r="AU38" s="1">
        <f>AU37/1.2</f>
        <v>1.9747000000000001</v>
      </c>
      <c r="AV38" s="1">
        <f>AV37/1.2</f>
        <v>3.5351166666666667</v>
      </c>
      <c r="AW38" s="1">
        <f>AW37/1.2</f>
        <v>4.190308333333333</v>
      </c>
      <c r="AX38" s="2" t="s">
        <v>189</v>
      </c>
      <c r="AY38" s="1">
        <f>AY37</f>
        <v>0</v>
      </c>
      <c r="AZ38" s="1">
        <f>AZ37</f>
        <v>0</v>
      </c>
      <c r="BA38" s="1">
        <f>BA37</f>
        <v>0</v>
      </c>
      <c r="BB38" s="1">
        <f>BB37</f>
        <v>0</v>
      </c>
      <c r="BC38" s="1">
        <f>BC37</f>
        <v>0</v>
      </c>
      <c r="BD38" s="1">
        <f>BD37</f>
        <v>0</v>
      </c>
      <c r="BE38" s="1">
        <f>BE37</f>
        <v>1</v>
      </c>
      <c r="BF38" s="1">
        <f>BF37</f>
        <v>0</v>
      </c>
      <c r="BG38" s="1">
        <f>BG37</f>
        <v>0</v>
      </c>
      <c r="BH38" s="1">
        <f>BH37</f>
        <v>0</v>
      </c>
      <c r="BI38" s="1">
        <f>BI37</f>
        <v>0</v>
      </c>
      <c r="BJ38" s="1">
        <f>BJ37</f>
        <v>0</v>
      </c>
      <c r="BK38" s="1">
        <f>BK37</f>
        <v>0</v>
      </c>
      <c r="BL38" s="1">
        <f>BL37</f>
        <v>0</v>
      </c>
      <c r="BM38" s="1">
        <f>BM37</f>
        <v>0</v>
      </c>
      <c r="BN38" s="1">
        <f>BN37</f>
        <v>0</v>
      </c>
      <c r="BO38" s="1">
        <f>BO37</f>
        <v>0</v>
      </c>
      <c r="BP38" s="1">
        <f>BP37</f>
        <v>0</v>
      </c>
      <c r="BQ38" s="1">
        <f>BQ37</f>
        <v>0</v>
      </c>
      <c r="BR38" s="1">
        <f>BR37</f>
        <v>0</v>
      </c>
      <c r="BS38" s="1">
        <f>BS37</f>
        <v>0</v>
      </c>
      <c r="BT38" s="1">
        <f>BT37</f>
        <v>0</v>
      </c>
      <c r="BU38" s="1">
        <f>BU37</f>
        <v>0</v>
      </c>
      <c r="BV38" s="1">
        <f>BV37</f>
        <v>0</v>
      </c>
      <c r="BW38" s="1">
        <f>BW37</f>
        <v>0</v>
      </c>
      <c r="BX38" s="1">
        <f>BX37</f>
        <v>0</v>
      </c>
      <c r="BY38" s="1">
        <f>AY38*X38</f>
        <v>0</v>
      </c>
      <c r="BZ38" s="1">
        <f>AZ38*Y38</f>
        <v>0</v>
      </c>
      <c r="CA38" s="1">
        <f>BA38*Z38</f>
        <v>0</v>
      </c>
      <c r="CB38" s="1">
        <f>BB38*AA38</f>
        <v>0</v>
      </c>
      <c r="CC38" s="1">
        <f>BC38*AB38</f>
        <v>0</v>
      </c>
      <c r="CD38" s="1">
        <f>BD38*AC38</f>
        <v>0</v>
      </c>
      <c r="CE38" s="1">
        <f>BE38*AD38</f>
        <v>3.41832</v>
      </c>
      <c r="CF38" s="1">
        <f>BF38*AE38</f>
        <v>0</v>
      </c>
      <c r="CG38" s="1">
        <f>BG38*AF38</f>
        <v>0</v>
      </c>
      <c r="CH38" s="1">
        <f>BH38*AG38</f>
        <v>0</v>
      </c>
      <c r="CI38" s="1">
        <f>BI38*AH38</f>
        <v>0</v>
      </c>
      <c r="CJ38" s="1">
        <f>BJ38*AI38</f>
        <v>0</v>
      </c>
      <c r="CK38" s="1">
        <f>BK38*AJ38</f>
        <v>0</v>
      </c>
      <c r="CL38" s="1">
        <f>BL38*AK38</f>
        <v>0</v>
      </c>
      <c r="CM38" s="1">
        <f>BM38*AL38</f>
        <v>0</v>
      </c>
      <c r="CN38" s="1">
        <f>BN38*AM38</f>
        <v>0</v>
      </c>
      <c r="CO38" s="1">
        <f>BO38*AN38</f>
        <v>0</v>
      </c>
      <c r="CP38" s="1">
        <f>BP38*AO38</f>
        <v>0</v>
      </c>
      <c r="CQ38" s="1">
        <f>BQ38*AP38</f>
        <v>0</v>
      </c>
      <c r="CR38" s="1">
        <f>BR38*AQ38</f>
        <v>0</v>
      </c>
      <c r="CS38" s="1">
        <f>BS38*AR38</f>
        <v>0</v>
      </c>
      <c r="CT38" s="1">
        <f>BT38*AS38</f>
        <v>0</v>
      </c>
      <c r="CU38" s="1">
        <f>BU38*AT38</f>
        <v>0</v>
      </c>
      <c r="CV38" s="1">
        <f>BV38*AU38</f>
        <v>0</v>
      </c>
      <c r="CW38" s="1">
        <f>BW38*AV38</f>
        <v>0</v>
      </c>
      <c r="CX38" s="1">
        <f>BX38*AW38</f>
        <v>0</v>
      </c>
    </row>
    <row r="39" spans="1:20" ht="12">
      <c r="A39" t="s">
        <v>190</v>
      </c>
      <c r="B39" s="47">
        <v>1.073129</v>
      </c>
      <c r="C39" s="48">
        <f>H39/H$4</f>
        <v>452354.31009105133</v>
      </c>
      <c r="D39" s="49">
        <f>G39/$H$4</f>
        <v>0</v>
      </c>
      <c r="E39" s="15"/>
      <c r="F39" s="15"/>
      <c r="G39" s="15">
        <f>B121*B39*H39/100</f>
        <v>0</v>
      </c>
      <c r="H39" s="15">
        <f>(C20-100000000)*J31</f>
        <v>875880080</v>
      </c>
      <c r="I39" s="15"/>
      <c r="K39" t="s">
        <v>191</v>
      </c>
      <c r="L39" s="1">
        <f>R10+R11+R12+R13+R14+R15+R16+R17+R18+R19+R20+R21+R22+R23+R24+R25+R26+R27+R28+R29+R30+R31+R32+R33+R34+R35+R36+R37</f>
        <v>5.55399</v>
      </c>
      <c r="M39" t="s">
        <v>188</v>
      </c>
      <c r="Q39" s="1" t="s">
        <v>192</v>
      </c>
      <c r="R39" s="1" t="s">
        <v>192</v>
      </c>
      <c r="S39" t="s">
        <v>191</v>
      </c>
      <c r="T39" s="18">
        <f>SUM(T9:T38)</f>
        <v>1000</v>
      </c>
    </row>
    <row r="40" spans="2:100" ht="12">
      <c r="B40" s="23"/>
      <c r="C40" s="51" t="s">
        <v>193</v>
      </c>
      <c r="D40" s="49">
        <f>G40/$H$4</f>
        <v>0</v>
      </c>
      <c r="E40" s="15"/>
      <c r="F40" s="15"/>
      <c r="G40" s="15">
        <f>G35+G36+G37+G38+G39</f>
        <v>0</v>
      </c>
      <c r="I40" s="15"/>
      <c r="BW40" s="1" t="b">
        <f>AY5=B8</f>
        <v>0</v>
      </c>
      <c r="BX40" s="1" t="b">
        <f>AZ5=B8</f>
        <v>0</v>
      </c>
      <c r="BY40" s="1" t="b">
        <f>BA5=B8</f>
        <v>0</v>
      </c>
      <c r="BZ40" s="1" t="b">
        <f>BB5=B8</f>
        <v>0</v>
      </c>
      <c r="CA40" s="1" t="b">
        <f>BC5=B8</f>
        <v>0</v>
      </c>
      <c r="CB40" s="1" t="b">
        <f>BD5=B8</f>
        <v>0</v>
      </c>
      <c r="CC40" s="1" t="b">
        <f>BE5=B8</f>
        <v>1</v>
      </c>
      <c r="CD40" s="1" t="b">
        <f>BF5=B8</f>
        <v>0</v>
      </c>
      <c r="CE40" s="1" t="b">
        <f>BG5=B8</f>
        <v>0</v>
      </c>
      <c r="CF40" s="1" t="b">
        <f>BH5=B8</f>
        <v>0</v>
      </c>
      <c r="CG40" s="1" t="b">
        <f>BI5=B8</f>
        <v>0</v>
      </c>
      <c r="CH40" s="1" t="b">
        <f>BJ5=B8</f>
        <v>0</v>
      </c>
      <c r="CI40" s="1" t="b">
        <f>BK5=B8</f>
        <v>0</v>
      </c>
      <c r="CJ40" s="1" t="b">
        <f>BL5=B8</f>
        <v>0</v>
      </c>
      <c r="CK40" s="1" t="b">
        <f>BM5=B8</f>
        <v>0</v>
      </c>
      <c r="CL40" s="1" t="b">
        <f>BN5=B8</f>
        <v>0</v>
      </c>
      <c r="CM40" s="1" t="b">
        <f>TRUE</f>
        <v>1</v>
      </c>
      <c r="CN40" s="1" t="b">
        <f>BP5=B8</f>
        <v>0</v>
      </c>
      <c r="CO40" s="1" t="b">
        <f>BQ5=B8</f>
        <v>0</v>
      </c>
      <c r="CP40" s="1" t="b">
        <f>BR5=B8</f>
        <v>0</v>
      </c>
      <c r="CQ40" s="1" t="b">
        <f>BS5=B8</f>
        <v>0</v>
      </c>
      <c r="CR40" s="1" t="b">
        <f>BT5=B8</f>
        <v>0</v>
      </c>
      <c r="CS40" s="1" t="b">
        <f>TRUE</f>
        <v>1</v>
      </c>
      <c r="CT40" s="1" t="b">
        <f>BV5=B8</f>
        <v>0</v>
      </c>
      <c r="CU40" s="1" t="b">
        <f>BW5=B8</f>
        <v>0</v>
      </c>
      <c r="CV40" s="1" t="b">
        <f>BX5=B8</f>
        <v>0</v>
      </c>
    </row>
    <row r="41" spans="1:55" ht="12">
      <c r="A41" s="23" t="s">
        <v>194</v>
      </c>
      <c r="B41" s="33"/>
      <c r="C41" s="52">
        <f>L42</f>
        <v>0</v>
      </c>
      <c r="D41" s="49">
        <f>G41/$H$4</f>
        <v>0</v>
      </c>
      <c r="E41" s="15"/>
      <c r="F41" s="15"/>
      <c r="G41" s="15">
        <f>G40*C41/100</f>
        <v>0</v>
      </c>
      <c r="I41" s="15"/>
      <c r="K41" s="37" t="s">
        <v>195</v>
      </c>
      <c r="V41" t="s">
        <v>34</v>
      </c>
      <c r="W41" s="1" t="s">
        <v>35</v>
      </c>
      <c r="X41" s="1" t="s">
        <v>36</v>
      </c>
      <c r="Y41" s="1" t="s">
        <v>37</v>
      </c>
      <c r="AB41" s="1" t="s">
        <v>38</v>
      </c>
      <c r="AF41" s="1" t="s">
        <v>39</v>
      </c>
      <c r="AG41" s="1" t="s">
        <v>40</v>
      </c>
      <c r="AY41" s="1" t="s">
        <v>34</v>
      </c>
      <c r="BB41" s="1" t="s">
        <v>35</v>
      </c>
      <c r="BC41" s="1" t="s">
        <v>36</v>
      </c>
    </row>
    <row r="42" spans="1:60" ht="12">
      <c r="A42" s="23" t="s">
        <v>196</v>
      </c>
      <c r="B42" s="33"/>
      <c r="C42" s="52"/>
      <c r="D42" s="49">
        <f>G42/$H$4</f>
        <v>0</v>
      </c>
      <c r="E42" s="15"/>
      <c r="F42" s="15"/>
      <c r="G42" s="15">
        <f>G40+G41</f>
        <v>0</v>
      </c>
      <c r="I42" s="15"/>
      <c r="K42" s="9" t="b">
        <f>B7&lt;&gt;1</f>
        <v>0</v>
      </c>
      <c r="L42" s="18">
        <f>-30*K42</f>
        <v>0</v>
      </c>
      <c r="V42" s="23"/>
      <c r="W42" s="40" t="s">
        <v>197</v>
      </c>
      <c r="Y42" s="40"/>
      <c r="AB42" s="40" t="s">
        <v>198</v>
      </c>
      <c r="AC42" s="40"/>
      <c r="AF42" s="40" t="s">
        <v>199</v>
      </c>
      <c r="AH42" s="40"/>
      <c r="AJ42" s="40">
        <v>2</v>
      </c>
      <c r="AM42" s="40">
        <v>3</v>
      </c>
      <c r="AP42" s="40">
        <v>4</v>
      </c>
      <c r="AQ42" s="40"/>
      <c r="AS42" s="40">
        <v>5</v>
      </c>
      <c r="AV42" s="40">
        <v>6</v>
      </c>
      <c r="AY42" s="40">
        <v>7</v>
      </c>
      <c r="AZ42" s="40"/>
      <c r="BB42" s="40">
        <v>7</v>
      </c>
      <c r="BC42" s="40"/>
      <c r="BE42" s="40">
        <v>8</v>
      </c>
      <c r="BF42" s="40"/>
      <c r="BH42" s="40">
        <v>9</v>
      </c>
    </row>
    <row r="43" spans="1:64" ht="12">
      <c r="A43" s="23" t="s">
        <v>200</v>
      </c>
      <c r="B43" s="33"/>
      <c r="C43" s="52">
        <v>0</v>
      </c>
      <c r="D43" s="49">
        <f>G43/$H$4</f>
        <v>0</v>
      </c>
      <c r="E43" s="15"/>
      <c r="F43" s="15"/>
      <c r="G43" s="15">
        <f>G42*C43/100</f>
        <v>0</v>
      </c>
      <c r="I43" s="15"/>
      <c r="J43" s="37"/>
      <c r="V43" s="9" t="s">
        <v>34</v>
      </c>
      <c r="X43" s="1">
        <v>10</v>
      </c>
      <c r="Y43" s="1">
        <f>X64</f>
        <v>0</v>
      </c>
      <c r="Z43" s="1">
        <f>X43*Y43</f>
        <v>0</v>
      </c>
      <c r="AB43" s="1">
        <v>12</v>
      </c>
      <c r="AC43" s="1">
        <f>AB64</f>
        <v>0</v>
      </c>
      <c r="AD43" s="1">
        <f>AB43*AC43</f>
        <v>0</v>
      </c>
      <c r="AF43" s="1">
        <v>8</v>
      </c>
      <c r="AG43" s="1">
        <f>AF64</f>
        <v>1</v>
      </c>
      <c r="AH43" s="1">
        <f>AF43*AG43</f>
        <v>8</v>
      </c>
      <c r="AJ43" s="1">
        <v>12</v>
      </c>
      <c r="AK43" s="1">
        <f>AJ64</f>
        <v>0</v>
      </c>
      <c r="AL43" s="1">
        <f>AJ43*AK43</f>
        <v>0</v>
      </c>
      <c r="AM43" s="1">
        <v>12</v>
      </c>
      <c r="AN43" s="1">
        <f>AM64</f>
        <v>0</v>
      </c>
      <c r="AO43" s="1">
        <f>AM43*AN43</f>
        <v>0</v>
      </c>
      <c r="AP43" s="1">
        <v>8</v>
      </c>
      <c r="AQ43" s="1">
        <f>AP64</f>
        <v>0</v>
      </c>
      <c r="AR43" s="1">
        <f>AP43*AQ43</f>
        <v>0</v>
      </c>
      <c r="AS43" s="1">
        <v>12</v>
      </c>
      <c r="AT43" s="1">
        <f>AS64</f>
        <v>0</v>
      </c>
      <c r="AU43" s="1">
        <f>AS43*AT43</f>
        <v>0</v>
      </c>
      <c r="AV43" s="1">
        <v>7</v>
      </c>
      <c r="AW43" s="1">
        <f>AV64</f>
        <v>0</v>
      </c>
      <c r="AX43" s="2">
        <f>AV43*AW43</f>
        <v>0</v>
      </c>
      <c r="AY43" s="1">
        <v>4</v>
      </c>
      <c r="AZ43" s="1">
        <f>AY64</f>
        <v>0</v>
      </c>
      <c r="BA43" s="1">
        <f>AY43*AZ43</f>
        <v>0</v>
      </c>
      <c r="BB43" s="1">
        <v>7</v>
      </c>
      <c r="BC43" s="1">
        <f>BB64</f>
        <v>0</v>
      </c>
      <c r="BD43" s="1">
        <f>BB43*BC43</f>
        <v>0</v>
      </c>
      <c r="BE43" s="1">
        <v>10</v>
      </c>
      <c r="BF43" s="1">
        <f>BE64</f>
        <v>0</v>
      </c>
      <c r="BG43" s="1">
        <f>BE43*BF43</f>
        <v>0</v>
      </c>
      <c r="BH43" s="1">
        <v>7</v>
      </c>
      <c r="BI43" s="1">
        <f>BH64</f>
        <v>0</v>
      </c>
      <c r="BJ43" s="1">
        <f>BH43*BI43</f>
        <v>0</v>
      </c>
      <c r="BK43" s="6" t="s">
        <v>34</v>
      </c>
      <c r="BL43" s="1">
        <f>Z43+AD43+AH43+AL43+AO43+AR43+AU43+AX43+BA43+BD43+BG43+BJ43</f>
        <v>8</v>
      </c>
    </row>
    <row r="44" spans="1:64" ht="12">
      <c r="A44" s="23" t="s">
        <v>196</v>
      </c>
      <c r="B44" s="33"/>
      <c r="C44" s="52"/>
      <c r="D44" s="49">
        <f>G44/$H$4</f>
        <v>0</v>
      </c>
      <c r="E44" s="15"/>
      <c r="F44" s="15"/>
      <c r="G44" s="15">
        <f>G42+G43</f>
        <v>0</v>
      </c>
      <c r="I44" s="15"/>
      <c r="J44" s="37"/>
      <c r="V44" s="9" t="s">
        <v>35</v>
      </c>
      <c r="X44" s="1">
        <v>2</v>
      </c>
      <c r="Y44" s="1">
        <f>Y43</f>
        <v>0</v>
      </c>
      <c r="Z44" s="1">
        <f>X44*Y44</f>
        <v>0</v>
      </c>
      <c r="AB44" s="1">
        <v>2</v>
      </c>
      <c r="AC44" s="1">
        <f>AC43</f>
        <v>0</v>
      </c>
      <c r="AD44" s="1">
        <f>AB44*AC44</f>
        <v>0</v>
      </c>
      <c r="AF44" s="1">
        <v>2</v>
      </c>
      <c r="AG44" s="1">
        <f>AG43</f>
        <v>1</v>
      </c>
      <c r="AH44" s="1">
        <f>AF44*AG44</f>
        <v>2</v>
      </c>
      <c r="AJ44" s="1">
        <v>3</v>
      </c>
      <c r="AK44" s="1">
        <f>AK43</f>
        <v>0</v>
      </c>
      <c r="AL44" s="1">
        <f>AJ44*AK44</f>
        <v>0</v>
      </c>
      <c r="AM44" s="1">
        <v>3</v>
      </c>
      <c r="AN44" s="1">
        <f>AN43</f>
        <v>0</v>
      </c>
      <c r="AO44" s="1">
        <f>AM44*AN44</f>
        <v>0</v>
      </c>
      <c r="AP44" s="1">
        <v>2</v>
      </c>
      <c r="AQ44" s="1">
        <f>AQ43</f>
        <v>0</v>
      </c>
      <c r="AR44" s="1">
        <f>AP44*AQ44</f>
        <v>0</v>
      </c>
      <c r="AS44" s="1">
        <v>3</v>
      </c>
      <c r="AT44" s="1">
        <f>AT43</f>
        <v>0</v>
      </c>
      <c r="AU44" s="1">
        <f>AS44*AT44</f>
        <v>0</v>
      </c>
      <c r="AV44" s="1">
        <v>3</v>
      </c>
      <c r="AW44" s="1">
        <f>AW43</f>
        <v>0</v>
      </c>
      <c r="AX44" s="2">
        <f>AV44*AW44</f>
        <v>0</v>
      </c>
      <c r="AY44" s="1">
        <v>1</v>
      </c>
      <c r="AZ44" s="1">
        <f>AZ43</f>
        <v>0</v>
      </c>
      <c r="BA44" s="1">
        <f>AY44*AZ44</f>
        <v>0</v>
      </c>
      <c r="BB44" s="1">
        <v>2</v>
      </c>
      <c r="BC44" s="1">
        <f>BC43</f>
        <v>0</v>
      </c>
      <c r="BD44" s="1">
        <f>BB44*BC44</f>
        <v>0</v>
      </c>
      <c r="BE44" s="1">
        <v>3</v>
      </c>
      <c r="BF44" s="1">
        <f>BF43</f>
        <v>0</v>
      </c>
      <c r="BG44" s="1">
        <f>BE44*BF44</f>
        <v>0</v>
      </c>
      <c r="BH44" s="1">
        <v>3</v>
      </c>
      <c r="BI44" s="1">
        <f>BI43</f>
        <v>0</v>
      </c>
      <c r="BJ44" s="1">
        <f>BH44*BI44</f>
        <v>0</v>
      </c>
      <c r="BK44" s="6" t="s">
        <v>35</v>
      </c>
      <c r="BL44" s="1">
        <f>Z44+AD44+AH44+AL44+AO44+AR44+AU44+AX44+BA44+BD44+BG44+BJ44</f>
        <v>2</v>
      </c>
    </row>
    <row r="45" spans="1:64" ht="12">
      <c r="A45" s="23" t="s">
        <v>201</v>
      </c>
      <c r="B45" s="33"/>
      <c r="C45" s="52">
        <v>0</v>
      </c>
      <c r="D45" s="49">
        <f>G45/$H$4</f>
        <v>0</v>
      </c>
      <c r="E45" s="34"/>
      <c r="F45" s="34"/>
      <c r="G45" s="15">
        <f>G44*C45/100</f>
        <v>0</v>
      </c>
      <c r="I45" s="34"/>
      <c r="J45" s="37"/>
      <c r="V45" s="9" t="s">
        <v>36</v>
      </c>
      <c r="X45" s="1">
        <v>25</v>
      </c>
      <c r="Y45" s="1">
        <f>Y44</f>
        <v>0</v>
      </c>
      <c r="Z45" s="1">
        <f>X45*Y45</f>
        <v>0</v>
      </c>
      <c r="AB45" s="1">
        <v>28</v>
      </c>
      <c r="AC45" s="1">
        <f>AC44</f>
        <v>0</v>
      </c>
      <c r="AD45" s="1">
        <f>AB45*AC45</f>
        <v>0</v>
      </c>
      <c r="AF45" s="1">
        <v>28</v>
      </c>
      <c r="AG45" s="1">
        <f>AG44</f>
        <v>1</v>
      </c>
      <c r="AH45" s="1">
        <f>AF45*AG45</f>
        <v>28</v>
      </c>
      <c r="AJ45" s="1">
        <v>22</v>
      </c>
      <c r="AK45" s="1">
        <f>AK44</f>
        <v>0</v>
      </c>
      <c r="AL45" s="1">
        <f>AJ45*AK45</f>
        <v>0</v>
      </c>
      <c r="AM45" s="1">
        <v>22</v>
      </c>
      <c r="AN45" s="1">
        <f>AN44</f>
        <v>0</v>
      </c>
      <c r="AO45" s="1">
        <f>AM45*AN45</f>
        <v>0</v>
      </c>
      <c r="AP45" s="1">
        <v>18</v>
      </c>
      <c r="AQ45" s="1">
        <f>AQ44</f>
        <v>0</v>
      </c>
      <c r="AR45" s="1">
        <f>AP45*AQ45</f>
        <v>0</v>
      </c>
      <c r="AS45" s="1">
        <v>30</v>
      </c>
      <c r="AT45" s="1">
        <f>AT44</f>
        <v>0</v>
      </c>
      <c r="AU45" s="1">
        <f>AS45*AT45</f>
        <v>0</v>
      </c>
      <c r="AV45" s="1">
        <v>15</v>
      </c>
      <c r="AW45" s="1">
        <f>AW44</f>
        <v>0</v>
      </c>
      <c r="AX45" s="2">
        <f>AV45*AW45</f>
        <v>0</v>
      </c>
      <c r="AY45" s="1">
        <v>15</v>
      </c>
      <c r="AZ45" s="1">
        <f>AZ44</f>
        <v>0</v>
      </c>
      <c r="BA45" s="1">
        <f>AY45*AZ45</f>
        <v>0</v>
      </c>
      <c r="BB45" s="1">
        <v>12</v>
      </c>
      <c r="BC45" s="1">
        <f>BC44</f>
        <v>0</v>
      </c>
      <c r="BD45" s="1">
        <f>BB45*BC45</f>
        <v>0</v>
      </c>
      <c r="BE45" s="1">
        <v>15</v>
      </c>
      <c r="BF45" s="1">
        <f>BF44</f>
        <v>0</v>
      </c>
      <c r="BG45" s="1">
        <f>BE45*BF45</f>
        <v>0</v>
      </c>
      <c r="BH45" s="1">
        <v>20</v>
      </c>
      <c r="BI45" s="1">
        <f>BI44</f>
        <v>0</v>
      </c>
      <c r="BJ45" s="1">
        <f>BH45*BI45</f>
        <v>0</v>
      </c>
      <c r="BK45" s="6" t="s">
        <v>36</v>
      </c>
      <c r="BL45" s="1">
        <f>Z45+AD45+AH45+AL45+AO45+AR45+AU45+AX45+BA45+BD45+BG45+BJ45</f>
        <v>28</v>
      </c>
    </row>
    <row r="46" spans="1:64" ht="12.75">
      <c r="A46" s="23" t="s">
        <v>202</v>
      </c>
      <c r="D46" s="49">
        <f>G46/$H$4</f>
        <v>0</v>
      </c>
      <c r="E46" s="34"/>
      <c r="F46" s="34"/>
      <c r="G46" s="53">
        <f>G44+G45</f>
        <v>0</v>
      </c>
      <c r="I46" s="34"/>
      <c r="J46" s="37"/>
      <c r="V46" s="9" t="s">
        <v>37</v>
      </c>
      <c r="X46" s="1">
        <v>10</v>
      </c>
      <c r="Y46" s="1">
        <f>Y45</f>
        <v>0</v>
      </c>
      <c r="Z46" s="1">
        <f>X46*Y46</f>
        <v>0</v>
      </c>
      <c r="AB46" s="1">
        <v>8</v>
      </c>
      <c r="AC46" s="1">
        <f>AC45</f>
        <v>0</v>
      </c>
      <c r="AD46" s="1">
        <f>AB46*AC46</f>
        <v>0</v>
      </c>
      <c r="AF46" s="1">
        <v>8</v>
      </c>
      <c r="AG46" s="1">
        <f>AG45</f>
        <v>1</v>
      </c>
      <c r="AH46" s="1">
        <f>AF46*AG46</f>
        <v>8</v>
      </c>
      <c r="AJ46" s="1">
        <v>10</v>
      </c>
      <c r="AK46" s="1">
        <f>AK45</f>
        <v>0</v>
      </c>
      <c r="AL46" s="1">
        <f>AJ46*AK46</f>
        <v>0</v>
      </c>
      <c r="AM46" s="1">
        <v>10</v>
      </c>
      <c r="AN46" s="1">
        <f>AN45</f>
        <v>0</v>
      </c>
      <c r="AO46" s="1">
        <f>AM46*AN46</f>
        <v>0</v>
      </c>
      <c r="AP46" s="1">
        <v>7</v>
      </c>
      <c r="AQ46" s="1">
        <f>AQ45</f>
        <v>0</v>
      </c>
      <c r="AR46" s="1">
        <f>AP46*AQ46</f>
        <v>0</v>
      </c>
      <c r="AS46" s="1">
        <v>7</v>
      </c>
      <c r="AT46" s="1">
        <f>AT45</f>
        <v>0</v>
      </c>
      <c r="AU46" s="1">
        <f>AS46*AT46</f>
        <v>0</v>
      </c>
      <c r="AV46" s="1">
        <v>12</v>
      </c>
      <c r="AW46" s="1">
        <f>AW45</f>
        <v>0</v>
      </c>
      <c r="AX46" s="2">
        <f>AV46*AW46</f>
        <v>0</v>
      </c>
      <c r="AY46" s="1">
        <v>5</v>
      </c>
      <c r="AZ46" s="1">
        <f>AZ45</f>
        <v>0</v>
      </c>
      <c r="BA46" s="1">
        <f>AY46*AZ46</f>
        <v>0</v>
      </c>
      <c r="BB46" s="1">
        <v>4</v>
      </c>
      <c r="BC46" s="1">
        <f>BC45</f>
        <v>0</v>
      </c>
      <c r="BD46" s="1">
        <f>BB46*BC46</f>
        <v>0</v>
      </c>
      <c r="BE46" s="1">
        <v>5</v>
      </c>
      <c r="BF46" s="1">
        <f>BF45</f>
        <v>0</v>
      </c>
      <c r="BG46" s="1">
        <f>BE46*BF46</f>
        <v>0</v>
      </c>
      <c r="BH46" s="1">
        <v>5</v>
      </c>
      <c r="BI46" s="1">
        <f>BI45</f>
        <v>0</v>
      </c>
      <c r="BJ46" s="1">
        <f>BH46*BI46</f>
        <v>0</v>
      </c>
      <c r="BK46" s="6" t="s">
        <v>37</v>
      </c>
      <c r="BL46" s="1">
        <f>Z46+AD46+AH46+AL46+AO46+AR46+AU46+AX46+BA46+BD46+BG46+BJ46</f>
        <v>8</v>
      </c>
    </row>
    <row r="47" spans="1:64" ht="12">
      <c r="A47" s="39"/>
      <c r="B47" s="23" t="s">
        <v>203</v>
      </c>
      <c r="D47" s="49">
        <f>G47/$H$4</f>
        <v>28071.977408697603</v>
      </c>
      <c r="E47" s="15"/>
      <c r="F47" s="15"/>
      <c r="G47" s="34">
        <f>(C27+G46)*C122+B122*B34</f>
        <v>54354927.697138906</v>
      </c>
      <c r="I47" s="15"/>
      <c r="J47" s="37"/>
      <c r="V47" s="9" t="s">
        <v>38</v>
      </c>
      <c r="X47" s="1">
        <v>15</v>
      </c>
      <c r="Y47" s="1">
        <f>Y46</f>
        <v>0</v>
      </c>
      <c r="Z47" s="1">
        <f>X47*Y47</f>
        <v>0</v>
      </c>
      <c r="AB47" s="1">
        <v>20</v>
      </c>
      <c r="AC47" s="1">
        <f>AC46</f>
        <v>0</v>
      </c>
      <c r="AD47" s="1">
        <f>AB47*AC47</f>
        <v>0</v>
      </c>
      <c r="AF47" s="1">
        <v>4</v>
      </c>
      <c r="AG47" s="1">
        <f>AG46</f>
        <v>1</v>
      </c>
      <c r="AH47" s="1">
        <f>AF47*AG47</f>
        <v>4</v>
      </c>
      <c r="AJ47" s="1">
        <v>8</v>
      </c>
      <c r="AK47" s="1">
        <f>AK46</f>
        <v>0</v>
      </c>
      <c r="AL47" s="1">
        <f>AJ47*AK47</f>
        <v>0</v>
      </c>
      <c r="AM47" s="1">
        <v>8</v>
      </c>
      <c r="AN47" s="1">
        <f>AN46</f>
        <v>0</v>
      </c>
      <c r="AO47" s="1">
        <f>AM47*AN47</f>
        <v>0</v>
      </c>
      <c r="AP47" s="1">
        <v>5</v>
      </c>
      <c r="AQ47" s="1">
        <f>AQ46</f>
        <v>0</v>
      </c>
      <c r="AR47" s="1">
        <f>AP47*AQ47</f>
        <v>0</v>
      </c>
      <c r="AS47" s="1">
        <v>8</v>
      </c>
      <c r="AT47" s="1">
        <f>AT46</f>
        <v>0</v>
      </c>
      <c r="AU47" s="1">
        <f>AS47*AT47</f>
        <v>0</v>
      </c>
      <c r="AV47" s="1">
        <v>10</v>
      </c>
      <c r="AW47" s="1">
        <f>AW46</f>
        <v>0</v>
      </c>
      <c r="AX47" s="2">
        <f>AV47*AW47</f>
        <v>0</v>
      </c>
      <c r="AY47" s="1">
        <v>15</v>
      </c>
      <c r="AZ47" s="1">
        <f>AZ46</f>
        <v>0</v>
      </c>
      <c r="BA47" s="1">
        <f>AY47*AZ47</f>
        <v>0</v>
      </c>
      <c r="BB47" s="1">
        <v>15</v>
      </c>
      <c r="BC47" s="1">
        <f>BC46</f>
        <v>0</v>
      </c>
      <c r="BD47" s="1">
        <f>BB47*BC47</f>
        <v>0</v>
      </c>
      <c r="BE47" s="1">
        <v>12</v>
      </c>
      <c r="BF47" s="1">
        <f>BF46</f>
        <v>0</v>
      </c>
      <c r="BG47" s="1">
        <f>BE47*BF47</f>
        <v>0</v>
      </c>
      <c r="BH47" s="1">
        <v>20</v>
      </c>
      <c r="BI47" s="1">
        <f>BI46</f>
        <v>0</v>
      </c>
      <c r="BJ47" s="1">
        <f>BH47*BI47</f>
        <v>0</v>
      </c>
      <c r="BK47" s="6" t="s">
        <v>38</v>
      </c>
      <c r="BL47" s="1">
        <f>Z47+AD47+AH47+AL47+AO47+AR47+AU47+AX47+BA47+BD47+BG47+BJ47</f>
        <v>4</v>
      </c>
    </row>
    <row r="48" spans="1:64" ht="12.75">
      <c r="A48" s="23" t="s">
        <v>204</v>
      </c>
      <c r="B48" s="35">
        <v>30</v>
      </c>
      <c r="C48" s="23" t="s">
        <v>205</v>
      </c>
      <c r="D48" s="19" t="s">
        <v>42</v>
      </c>
      <c r="G48" s="3" t="s">
        <v>43</v>
      </c>
      <c r="H48" s="50" t="s">
        <v>206</v>
      </c>
      <c r="I48" s="54">
        <v>0.3</v>
      </c>
      <c r="J48" s="39" t="s">
        <v>207</v>
      </c>
      <c r="K48" s="39"/>
      <c r="V48" s="9" t="s">
        <v>39</v>
      </c>
      <c r="X48" s="1">
        <v>3</v>
      </c>
      <c r="Y48" s="1">
        <f>Y47</f>
        <v>0</v>
      </c>
      <c r="Z48" s="1">
        <f>X48*Y48</f>
        <v>0</v>
      </c>
      <c r="AB48" s="1">
        <v>3</v>
      </c>
      <c r="AC48" s="1">
        <f>AC47</f>
        <v>0</v>
      </c>
      <c r="AD48" s="1">
        <f>AB48*AC48</f>
        <v>0</v>
      </c>
      <c r="AF48" s="1">
        <v>5</v>
      </c>
      <c r="AG48" s="1">
        <f>AG47</f>
        <v>1</v>
      </c>
      <c r="AH48" s="1">
        <f>AF48*AG48</f>
        <v>5</v>
      </c>
      <c r="AJ48" s="1">
        <v>10</v>
      </c>
      <c r="AK48" s="1">
        <f>AK47</f>
        <v>0</v>
      </c>
      <c r="AL48" s="1">
        <f>AJ48*AK48</f>
        <v>0</v>
      </c>
      <c r="AM48" s="1">
        <v>10</v>
      </c>
      <c r="AN48" s="1">
        <f>AN47</f>
        <v>0</v>
      </c>
      <c r="AO48" s="1">
        <f>AM48*AN48</f>
        <v>0</v>
      </c>
      <c r="AP48" s="1">
        <v>10</v>
      </c>
      <c r="AQ48" s="1">
        <f>AQ47</f>
        <v>0</v>
      </c>
      <c r="AR48" s="1">
        <f>AP48*AQ48</f>
        <v>0</v>
      </c>
      <c r="AS48" s="1">
        <v>0</v>
      </c>
      <c r="AT48" s="1">
        <f>AT47</f>
        <v>0</v>
      </c>
      <c r="AU48" s="1">
        <f>AS48*AT48</f>
        <v>0</v>
      </c>
      <c r="AV48" s="1">
        <v>8</v>
      </c>
      <c r="AW48" s="1">
        <f>AW47</f>
        <v>0</v>
      </c>
      <c r="AX48" s="2">
        <f>AV48*AW48</f>
        <v>0</v>
      </c>
      <c r="AY48" s="1">
        <v>10</v>
      </c>
      <c r="AZ48" s="1">
        <f>AZ47</f>
        <v>0</v>
      </c>
      <c r="BA48" s="1">
        <f>AY48*AZ48</f>
        <v>0</v>
      </c>
      <c r="BB48" s="1">
        <v>10</v>
      </c>
      <c r="BC48" s="1">
        <f>BC47</f>
        <v>0</v>
      </c>
      <c r="BD48" s="1">
        <f>BB48*BC48</f>
        <v>0</v>
      </c>
      <c r="BE48" s="1">
        <v>10</v>
      </c>
      <c r="BF48" s="1">
        <f>BF47</f>
        <v>0</v>
      </c>
      <c r="BG48" s="1">
        <f>BE48*BF48</f>
        <v>0</v>
      </c>
      <c r="BH48" s="1">
        <v>10</v>
      </c>
      <c r="BI48" s="1">
        <f>BI47</f>
        <v>0</v>
      </c>
      <c r="BJ48" s="1">
        <f>BH48*BI48</f>
        <v>0</v>
      </c>
      <c r="BK48" s="6" t="s">
        <v>39</v>
      </c>
      <c r="BL48" s="1">
        <f>Z48+AD48+AH48+AL48+AO48+AR48+AU48+AX48+BA48+BD48+BG48+BJ48</f>
        <v>5</v>
      </c>
    </row>
    <row r="49" spans="1:64" ht="13.5">
      <c r="A49" s="23" t="s">
        <v>208</v>
      </c>
      <c r="B49" s="33"/>
      <c r="C49" s="33"/>
      <c r="D49" s="19">
        <f>G49/$H$4</f>
        <v>8421.593222609281</v>
      </c>
      <c r="E49" s="34"/>
      <c r="F49" s="34"/>
      <c r="G49" s="50">
        <f>G47*B48/100</f>
        <v>16306478.309141671</v>
      </c>
      <c r="H49" s="39"/>
      <c r="I49" s="54">
        <v>0.35</v>
      </c>
      <c r="J49" s="9" t="s">
        <v>209</v>
      </c>
      <c r="K49" s="39"/>
      <c r="V49" s="9" t="s">
        <v>40</v>
      </c>
      <c r="X49" s="1">
        <v>25</v>
      </c>
      <c r="Y49" s="1">
        <f>Y48</f>
        <v>0</v>
      </c>
      <c r="Z49" s="1">
        <f>X49*Y49</f>
        <v>0</v>
      </c>
      <c r="AB49" s="1">
        <v>20</v>
      </c>
      <c r="AC49" s="1">
        <f>AC48</f>
        <v>0</v>
      </c>
      <c r="AD49" s="1">
        <f>AB49*AC49</f>
        <v>0</v>
      </c>
      <c r="AF49" s="1">
        <v>35</v>
      </c>
      <c r="AG49" s="1">
        <f>AG48</f>
        <v>1</v>
      </c>
      <c r="AH49" s="1">
        <f>AF49*AG49</f>
        <v>35</v>
      </c>
      <c r="AJ49" s="1">
        <v>15</v>
      </c>
      <c r="AK49" s="1">
        <f>AK48</f>
        <v>0</v>
      </c>
      <c r="AL49" s="1">
        <f>AJ49*AK49</f>
        <v>0</v>
      </c>
      <c r="AM49" s="1">
        <v>15</v>
      </c>
      <c r="AN49" s="1">
        <f>AN48</f>
        <v>0</v>
      </c>
      <c r="AO49" s="1">
        <f>AM49*AN49</f>
        <v>0</v>
      </c>
      <c r="AP49" s="1">
        <v>20</v>
      </c>
      <c r="AQ49" s="1">
        <f>AQ48</f>
        <v>0</v>
      </c>
      <c r="AR49" s="1">
        <f>AP49*AQ49</f>
        <v>0</v>
      </c>
      <c r="AS49" s="1">
        <v>15</v>
      </c>
      <c r="AT49" s="1">
        <f>AT48</f>
        <v>0</v>
      </c>
      <c r="AU49" s="1">
        <f>AS49*AT49</f>
        <v>0</v>
      </c>
      <c r="AV49" s="1">
        <v>25</v>
      </c>
      <c r="AW49" s="1">
        <f>AW48</f>
        <v>0</v>
      </c>
      <c r="AX49" s="2">
        <f>AV49*AW49</f>
        <v>0</v>
      </c>
      <c r="AY49" s="1">
        <v>30</v>
      </c>
      <c r="AZ49" s="1">
        <f>AZ48</f>
        <v>0</v>
      </c>
      <c r="BA49" s="1">
        <f>AY49*AZ49</f>
        <v>0</v>
      </c>
      <c r="BB49" s="1">
        <v>30</v>
      </c>
      <c r="BC49" s="1">
        <f>BC48</f>
        <v>0</v>
      </c>
      <c r="BD49" s="1">
        <f>BB49*BC49</f>
        <v>0</v>
      </c>
      <c r="BE49" s="1">
        <v>25</v>
      </c>
      <c r="BF49" s="1">
        <f>BF48</f>
        <v>0</v>
      </c>
      <c r="BG49" s="1">
        <f>BE49*BF49</f>
        <v>0</v>
      </c>
      <c r="BH49" s="1">
        <v>20</v>
      </c>
      <c r="BI49" s="1">
        <f>BI48</f>
        <v>0</v>
      </c>
      <c r="BJ49" s="1">
        <f>BH49*BI49</f>
        <v>0</v>
      </c>
      <c r="BK49" s="6" t="s">
        <v>40</v>
      </c>
      <c r="BL49" s="1">
        <f>Z49+AD49+AH49+AL49+AO49+AR49+AU49+AX49+BA49+BD49+BG49+BJ49</f>
        <v>35</v>
      </c>
    </row>
    <row r="50" spans="1:64" ht="13.5">
      <c r="A50" s="23" t="s">
        <v>210</v>
      </c>
      <c r="B50" s="55" t="s">
        <v>211</v>
      </c>
      <c r="C50" s="35">
        <v>0</v>
      </c>
      <c r="D50" s="19">
        <f>G50/$H$4</f>
        <v>0</v>
      </c>
      <c r="E50" s="34"/>
      <c r="F50" s="34"/>
      <c r="G50" s="50">
        <f>C50*110000</f>
        <v>0</v>
      </c>
      <c r="H50" s="39"/>
      <c r="I50" s="54">
        <v>0.4</v>
      </c>
      <c r="J50" s="9" t="s">
        <v>212</v>
      </c>
      <c r="K50" s="39"/>
      <c r="V50" s="9" t="s">
        <v>103</v>
      </c>
      <c r="X50" s="1">
        <v>0</v>
      </c>
      <c r="Y50" s="1">
        <f>Y49</f>
        <v>0</v>
      </c>
      <c r="Z50" s="1">
        <f>X50*Y50</f>
        <v>0</v>
      </c>
      <c r="AB50" s="1">
        <v>0</v>
      </c>
      <c r="AC50" s="1">
        <f>AC49</f>
        <v>0</v>
      </c>
      <c r="AD50" s="1">
        <f>AB50*AC50</f>
        <v>0</v>
      </c>
      <c r="AF50" s="1">
        <v>0</v>
      </c>
      <c r="AG50" s="1">
        <f>AG49</f>
        <v>1</v>
      </c>
      <c r="AH50" s="1">
        <f>AF50*AG50</f>
        <v>0</v>
      </c>
      <c r="AJ50" s="1">
        <v>0</v>
      </c>
      <c r="AK50" s="1">
        <f>AK49</f>
        <v>0</v>
      </c>
      <c r="AL50" s="1">
        <f>AJ50*AK50</f>
        <v>0</v>
      </c>
      <c r="AM50" s="1">
        <v>0</v>
      </c>
      <c r="AN50" s="1">
        <f>AN49</f>
        <v>0</v>
      </c>
      <c r="AO50" s="1">
        <f>AM50*AN50</f>
        <v>0</v>
      </c>
      <c r="AP50" s="1">
        <v>0</v>
      </c>
      <c r="AQ50" s="1">
        <f>AQ49</f>
        <v>0</v>
      </c>
      <c r="AR50" s="1">
        <f>AP50*AQ50</f>
        <v>0</v>
      </c>
      <c r="AS50" s="1">
        <v>12</v>
      </c>
      <c r="AT50" s="1">
        <f>AT49</f>
        <v>0</v>
      </c>
      <c r="AU50" s="1">
        <f>AS50*AT50</f>
        <v>0</v>
      </c>
      <c r="AV50" s="1">
        <v>0</v>
      </c>
      <c r="AW50" s="1">
        <f>AW49</f>
        <v>0</v>
      </c>
      <c r="AX50" s="2">
        <f>AV50*AW50</f>
        <v>0</v>
      </c>
      <c r="AY50" s="1">
        <v>0</v>
      </c>
      <c r="AZ50" s="1">
        <f>AZ49</f>
        <v>0</v>
      </c>
      <c r="BA50" s="1">
        <f>AY50*AZ50</f>
        <v>0</v>
      </c>
      <c r="BB50" s="1">
        <v>0</v>
      </c>
      <c r="BC50" s="1">
        <f>BC49</f>
        <v>0</v>
      </c>
      <c r="BD50" s="1">
        <f>BB50*BC50</f>
        <v>0</v>
      </c>
      <c r="BE50" s="1">
        <v>0</v>
      </c>
      <c r="BF50" s="1">
        <f>BF49</f>
        <v>0</v>
      </c>
      <c r="BG50" s="1">
        <f>BE50*BF50</f>
        <v>0</v>
      </c>
      <c r="BH50" s="1">
        <v>0</v>
      </c>
      <c r="BI50" s="1">
        <f>BI49</f>
        <v>0</v>
      </c>
      <c r="BJ50" s="1">
        <f>BH50*BI50</f>
        <v>0</v>
      </c>
      <c r="BK50" s="6" t="s">
        <v>103</v>
      </c>
      <c r="BL50" s="1">
        <f>Z50+AD50+AH50+AL50+AO50+AR50+AU50+AX50+BA50+BD50+BG50+BJ50</f>
        <v>0</v>
      </c>
    </row>
    <row r="51" spans="1:64" ht="13.5">
      <c r="A51" s="23" t="s">
        <v>213</v>
      </c>
      <c r="B51" s="55" t="s">
        <v>211</v>
      </c>
      <c r="C51" s="35">
        <v>0</v>
      </c>
      <c r="D51" s="19">
        <f>G51/$H$4</f>
        <v>0</v>
      </c>
      <c r="E51" s="34"/>
      <c r="F51" s="34"/>
      <c r="G51" s="50">
        <f>C51*73500</f>
        <v>0</v>
      </c>
      <c r="H51" s="39"/>
      <c r="I51" s="54">
        <v>0.45</v>
      </c>
      <c r="J51" s="9" t="s">
        <v>214</v>
      </c>
      <c r="K51" s="39"/>
      <c r="V51" s="9" t="s">
        <v>109</v>
      </c>
      <c r="X51" s="1">
        <v>3</v>
      </c>
      <c r="Y51" s="1">
        <f>Y50</f>
        <v>0</v>
      </c>
      <c r="Z51" s="1">
        <f>X51*Y51</f>
        <v>0</v>
      </c>
      <c r="AB51" s="1">
        <v>2</v>
      </c>
      <c r="AC51" s="1">
        <f>AC50</f>
        <v>0</v>
      </c>
      <c r="AD51" s="1">
        <f>AB51*AC51</f>
        <v>0</v>
      </c>
      <c r="AF51" s="1">
        <v>3</v>
      </c>
      <c r="AG51" s="1">
        <f>AG50</f>
        <v>1</v>
      </c>
      <c r="AH51" s="1">
        <f>AF51*AG51</f>
        <v>3</v>
      </c>
      <c r="AJ51" s="1">
        <v>15</v>
      </c>
      <c r="AK51" s="1">
        <f>AK50</f>
        <v>0</v>
      </c>
      <c r="AL51" s="1">
        <f>AJ51*AK51</f>
        <v>0</v>
      </c>
      <c r="AM51" s="1">
        <v>15</v>
      </c>
      <c r="AN51" s="1">
        <f>AN50</f>
        <v>0</v>
      </c>
      <c r="AO51" s="1">
        <f>AM51*AN51</f>
        <v>0</v>
      </c>
      <c r="AP51" s="1">
        <v>20</v>
      </c>
      <c r="AQ51" s="1">
        <f>AQ50</f>
        <v>0</v>
      </c>
      <c r="AR51" s="1">
        <f>AP51*AQ51</f>
        <v>0</v>
      </c>
      <c r="AS51" s="1">
        <v>13</v>
      </c>
      <c r="AT51" s="1">
        <f>AT50</f>
        <v>0</v>
      </c>
      <c r="AU51" s="1">
        <f>AS51*AT51</f>
        <v>0</v>
      </c>
      <c r="AV51" s="1">
        <v>5</v>
      </c>
      <c r="AW51" s="1">
        <f>AW50</f>
        <v>0</v>
      </c>
      <c r="AX51" s="2">
        <f>AV51*AW51</f>
        <v>0</v>
      </c>
      <c r="AY51" s="1">
        <v>5</v>
      </c>
      <c r="AZ51" s="1">
        <f>AZ50</f>
        <v>0</v>
      </c>
      <c r="BA51" s="1">
        <f>AY51*AZ51</f>
        <v>0</v>
      </c>
      <c r="BB51" s="1">
        <v>5</v>
      </c>
      <c r="BC51" s="1">
        <f>BC50</f>
        <v>0</v>
      </c>
      <c r="BD51" s="1">
        <f>BB51*BC51</f>
        <v>0</v>
      </c>
      <c r="BE51" s="1">
        <v>5</v>
      </c>
      <c r="BF51" s="1">
        <f>BF50</f>
        <v>0</v>
      </c>
      <c r="BG51" s="1">
        <f>BE51*BF51</f>
        <v>0</v>
      </c>
      <c r="BH51" s="1">
        <v>10</v>
      </c>
      <c r="BI51" s="1">
        <f>BI50</f>
        <v>0</v>
      </c>
      <c r="BJ51" s="1">
        <f>BH51*BI51</f>
        <v>0</v>
      </c>
      <c r="BK51" s="6" t="s">
        <v>109</v>
      </c>
      <c r="BL51" s="1">
        <f>Z51+AD51+AH51+AL51+AO51+AR51+AU51+AX51+BA51+BD51+BG51+BJ51</f>
        <v>3</v>
      </c>
    </row>
    <row r="52" spans="1:64" ht="12.75">
      <c r="A52" s="23" t="s">
        <v>215</v>
      </c>
      <c r="B52" s="55" t="s">
        <v>211</v>
      </c>
      <c r="C52" s="35">
        <v>0</v>
      </c>
      <c r="D52" s="19">
        <f>G52/$H$4</f>
        <v>0</v>
      </c>
      <c r="E52" s="34"/>
      <c r="F52" s="34"/>
      <c r="G52" s="50">
        <f>C52*55000</f>
        <v>0</v>
      </c>
      <c r="I52" s="34"/>
      <c r="J52" s="37"/>
      <c r="V52" s="15" t="s">
        <v>114</v>
      </c>
      <c r="X52" s="1">
        <v>7</v>
      </c>
      <c r="Y52" s="1">
        <f>Y51</f>
        <v>0</v>
      </c>
      <c r="Z52" s="1">
        <f>X52*Y52</f>
        <v>0</v>
      </c>
      <c r="AB52" s="1">
        <v>5</v>
      </c>
      <c r="AC52" s="1">
        <f>AC51</f>
        <v>0</v>
      </c>
      <c r="AD52" s="1">
        <f>AB52*AC52</f>
        <v>0</v>
      </c>
      <c r="AF52" s="1">
        <v>7</v>
      </c>
      <c r="AG52" s="1">
        <f>AG51</f>
        <v>1</v>
      </c>
      <c r="AH52" s="1">
        <f>AF52*AG52</f>
        <v>7</v>
      </c>
      <c r="AJ52" s="1">
        <v>5</v>
      </c>
      <c r="AK52" s="1">
        <f>AK51</f>
        <v>0</v>
      </c>
      <c r="AL52" s="1">
        <f>AJ52*AK52</f>
        <v>0</v>
      </c>
      <c r="AM52" s="1">
        <v>5</v>
      </c>
      <c r="AN52" s="1">
        <f>AN51</f>
        <v>0</v>
      </c>
      <c r="AO52" s="1">
        <f>AM52*AN52</f>
        <v>0</v>
      </c>
      <c r="AP52" s="1">
        <v>10</v>
      </c>
      <c r="AQ52" s="1">
        <f>AQ51</f>
        <v>0</v>
      </c>
      <c r="AR52" s="1">
        <f>AP52*AQ52</f>
        <v>0</v>
      </c>
      <c r="AS52" s="1">
        <v>0</v>
      </c>
      <c r="AT52" s="1">
        <f>AT51</f>
        <v>0</v>
      </c>
      <c r="AU52" s="1">
        <f>AS52*AT52</f>
        <v>0</v>
      </c>
      <c r="AV52" s="1">
        <v>15</v>
      </c>
      <c r="AW52" s="1">
        <f>AW51</f>
        <v>0</v>
      </c>
      <c r="AX52" s="2">
        <f>AV52*AW52</f>
        <v>0</v>
      </c>
      <c r="AY52" s="1">
        <v>15</v>
      </c>
      <c r="AZ52" s="1">
        <f>AZ51</f>
        <v>0</v>
      </c>
      <c r="BA52" s="1">
        <f>AY52*AZ52</f>
        <v>0</v>
      </c>
      <c r="BB52" s="1">
        <v>15</v>
      </c>
      <c r="BC52" s="1">
        <f>BC51</f>
        <v>0</v>
      </c>
      <c r="BD52" s="1">
        <f>BB52*BC52</f>
        <v>0</v>
      </c>
      <c r="BE52" s="1">
        <v>15</v>
      </c>
      <c r="BF52" s="1">
        <f>BF51</f>
        <v>0</v>
      </c>
      <c r="BG52" s="1">
        <f>BE52*BF52</f>
        <v>0</v>
      </c>
      <c r="BH52" s="1">
        <v>5</v>
      </c>
      <c r="BI52" s="1">
        <f>BI51</f>
        <v>0</v>
      </c>
      <c r="BJ52" s="1">
        <f>BH52*BI52</f>
        <v>0</v>
      </c>
      <c r="BK52" s="6" t="s">
        <v>114</v>
      </c>
      <c r="BL52" s="1">
        <f>Z52+AD52+AH52+AL52+AO52+AR52+AU52+AX52+BA52+BD52+BG52+BJ52</f>
        <v>7</v>
      </c>
    </row>
    <row r="53" spans="1:10" ht="12.75">
      <c r="A53" s="23" t="s">
        <v>216</v>
      </c>
      <c r="B53" s="33"/>
      <c r="C53" s="33"/>
      <c r="D53" s="19">
        <f>G53/$H$4</f>
        <v>36493.57063130688</v>
      </c>
      <c r="E53" s="15"/>
      <c r="F53" s="15"/>
      <c r="G53" s="50">
        <f>G47+G49+G50+G51+G52</f>
        <v>70661406.00628057</v>
      </c>
      <c r="I53" s="15"/>
      <c r="J53" s="9"/>
    </row>
    <row r="54" spans="1:10" ht="12.75">
      <c r="A54" s="23" t="s">
        <v>217</v>
      </c>
      <c r="B54" s="33"/>
      <c r="C54" s="35">
        <v>0</v>
      </c>
      <c r="D54" s="19">
        <f>G54/$H$4</f>
        <v>0</v>
      </c>
      <c r="E54" s="15"/>
      <c r="F54" s="15"/>
      <c r="G54" s="50">
        <f>-G53*C54/100</f>
        <v>0</v>
      </c>
      <c r="I54" s="15"/>
      <c r="J54" s="9"/>
    </row>
    <row r="55" spans="1:60" ht="12.75">
      <c r="A55" s="23" t="s">
        <v>218</v>
      </c>
      <c r="B55" s="33"/>
      <c r="C55" s="35">
        <v>0</v>
      </c>
      <c r="D55" s="19">
        <f>G55/$H$4</f>
        <v>0</v>
      </c>
      <c r="E55" s="15"/>
      <c r="F55" s="15"/>
      <c r="G55" s="50">
        <f>-G53*C55/100</f>
        <v>0</v>
      </c>
      <c r="I55" s="15"/>
      <c r="J55" s="9"/>
      <c r="V55" t="b">
        <f>B7=1</f>
        <v>1</v>
      </c>
      <c r="W55" s="1" t="b">
        <f>V55</f>
        <v>1</v>
      </c>
      <c r="X55" s="1">
        <f>W55</f>
        <v>1</v>
      </c>
      <c r="Y55" s="1">
        <f>X55</f>
        <v>1</v>
      </c>
      <c r="AB55" s="1" t="b">
        <f>B7=1</f>
        <v>1</v>
      </c>
      <c r="AF55" s="1" t="b">
        <f>B7=1</f>
        <v>1</v>
      </c>
      <c r="AG55" s="1">
        <f>AF55</f>
        <v>1</v>
      </c>
      <c r="AJ55" s="1" t="b">
        <f>B7=2</f>
        <v>0</v>
      </c>
      <c r="AM55" s="1" t="b">
        <f>B7=3</f>
        <v>0</v>
      </c>
      <c r="AP55" s="1" t="b">
        <f>B7=4</f>
        <v>0</v>
      </c>
      <c r="AS55" s="1" t="b">
        <f>B7=5</f>
        <v>0</v>
      </c>
      <c r="AV55" s="1" t="b">
        <f>B7=6</f>
        <v>0</v>
      </c>
      <c r="AY55" s="1" t="b">
        <f>B7=7</f>
        <v>0</v>
      </c>
      <c r="BB55" s="1" t="b">
        <f>B7=7</f>
        <v>0</v>
      </c>
      <c r="BC55" s="1">
        <f>BB55</f>
        <v>0</v>
      </c>
      <c r="BE55" s="1" t="b">
        <f>B7=8</f>
        <v>0</v>
      </c>
      <c r="BH55" s="1" t="b">
        <f>B7=9</f>
        <v>0</v>
      </c>
    </row>
    <row r="56" spans="1:10" ht="12.75">
      <c r="A56" s="23" t="s">
        <v>219</v>
      </c>
      <c r="B56" s="33"/>
      <c r="C56" s="35">
        <v>0</v>
      </c>
      <c r="D56" s="19">
        <f>G56/$H$4</f>
        <v>0</v>
      </c>
      <c r="E56" s="15"/>
      <c r="F56" s="15"/>
      <c r="G56" s="50">
        <f>-G53*C56/100</f>
        <v>0</v>
      </c>
      <c r="I56" s="15"/>
      <c r="J56" s="9"/>
    </row>
    <row r="57" spans="1:55" ht="12.75">
      <c r="A57" s="23" t="s">
        <v>220</v>
      </c>
      <c r="B57" s="33"/>
      <c r="C57" s="35"/>
      <c r="D57" s="19">
        <f>G57/$H$4</f>
        <v>0</v>
      </c>
      <c r="E57" s="15"/>
      <c r="F57" s="15"/>
      <c r="G57" s="10">
        <v>0</v>
      </c>
      <c r="I57" s="15"/>
      <c r="J57" s="9"/>
      <c r="V57" t="b">
        <f>V41=B8</f>
        <v>0</v>
      </c>
      <c r="W57" s="1" t="b">
        <f>W41=B8</f>
        <v>0</v>
      </c>
      <c r="X57" s="1" t="b">
        <f>X41=B8</f>
        <v>0</v>
      </c>
      <c r="Y57" s="1" t="b">
        <f>Y41=B8</f>
        <v>0</v>
      </c>
      <c r="AB57" s="1" t="b">
        <f>AB41=B8</f>
        <v>0</v>
      </c>
      <c r="AF57" s="1" t="b">
        <f>AF41=B8</f>
        <v>0</v>
      </c>
      <c r="AG57" s="1" t="b">
        <f>AG41=B8</f>
        <v>1</v>
      </c>
      <c r="AY57" s="1" t="b">
        <f>AY41=B8</f>
        <v>0</v>
      </c>
      <c r="BB57" s="1" t="b">
        <f>BB41=B8</f>
        <v>0</v>
      </c>
      <c r="BC57" s="1" t="b">
        <f>BC41=B8</f>
        <v>0</v>
      </c>
    </row>
    <row r="58" spans="1:10" ht="12.75">
      <c r="A58" s="23" t="s">
        <v>221</v>
      </c>
      <c r="B58" s="33"/>
      <c r="C58" s="33"/>
      <c r="D58" s="19">
        <f>G58/$H$4</f>
        <v>36493.57063130688</v>
      </c>
      <c r="E58" s="34"/>
      <c r="F58" s="34"/>
      <c r="G58" s="50">
        <f>G53+G54+G55+G56+G57</f>
        <v>70661406.00628057</v>
      </c>
      <c r="I58" s="34" t="s">
        <v>222</v>
      </c>
      <c r="J58" s="9"/>
    </row>
    <row r="59" spans="1:10" ht="12.75">
      <c r="A59" s="23" t="s">
        <v>223</v>
      </c>
      <c r="D59" s="56">
        <f>D58</f>
        <v>36493.57063130688</v>
      </c>
      <c r="E59" s="15"/>
      <c r="F59" s="15"/>
      <c r="G59" s="57">
        <f>D59*H$4</f>
        <v>70661406.00628057</v>
      </c>
      <c r="I59" s="15"/>
      <c r="J59" s="9"/>
    </row>
    <row r="60" spans="1:10" ht="12.75">
      <c r="A60" t="s">
        <v>224</v>
      </c>
      <c r="C60" s="58">
        <v>0</v>
      </c>
      <c r="D60" s="19">
        <f>D59*C60</f>
        <v>0</v>
      </c>
      <c r="E60" s="34"/>
      <c r="F60" s="34"/>
      <c r="G60" s="57">
        <f>D60*H$4</f>
        <v>0</v>
      </c>
      <c r="I60" s="34" t="s">
        <v>225</v>
      </c>
      <c r="J60" s="9"/>
    </row>
    <row r="61" spans="1:55" ht="12.75">
      <c r="A61" t="s">
        <v>226</v>
      </c>
      <c r="D61" s="19">
        <f>D59+D60</f>
        <v>36493.57063130688</v>
      </c>
      <c r="E61" s="9"/>
      <c r="F61" s="9"/>
      <c r="G61" s="57">
        <f>D61*H$4</f>
        <v>70661406.00628057</v>
      </c>
      <c r="I61" s="9"/>
      <c r="J61" s="9"/>
      <c r="V61" s="18">
        <f>V57*V55</f>
        <v>0</v>
      </c>
      <c r="W61" s="1">
        <f>W57*W55</f>
        <v>0</v>
      </c>
      <c r="X61" s="1">
        <f>X57*X55</f>
        <v>0</v>
      </c>
      <c r="Y61" s="1">
        <f>Y57*Y55</f>
        <v>0</v>
      </c>
      <c r="AF61" s="1">
        <f>AF57*AF55</f>
        <v>0</v>
      </c>
      <c r="AG61" s="1">
        <f>AG57*AG55</f>
        <v>1</v>
      </c>
      <c r="BB61" s="1">
        <f>BB57*BB55</f>
        <v>0</v>
      </c>
      <c r="BC61" s="1">
        <f>BC57*BC55</f>
        <v>0</v>
      </c>
    </row>
    <row r="62" spans="1:10" ht="12.75">
      <c r="A62" t="s">
        <v>227</v>
      </c>
      <c r="C62" s="58">
        <v>0.04</v>
      </c>
      <c r="D62" s="19">
        <f>D61*C62</f>
        <v>1459.7428252522752</v>
      </c>
      <c r="E62" s="9"/>
      <c r="F62" s="9"/>
      <c r="G62" s="57">
        <f>D62*H$4</f>
        <v>2826456.240251223</v>
      </c>
      <c r="I62" s="9" t="s">
        <v>228</v>
      </c>
      <c r="J62" s="9"/>
    </row>
    <row r="63" spans="1:10" ht="12.75">
      <c r="A63" t="s">
        <v>229</v>
      </c>
      <c r="D63" s="19">
        <f>D61+D62</f>
        <v>37953.31345655915</v>
      </c>
      <c r="E63" s="9"/>
      <c r="F63" s="9"/>
      <c r="G63" s="57">
        <f>D63*H$4</f>
        <v>73487862.24653178</v>
      </c>
      <c r="I63" s="9"/>
      <c r="J63" s="9"/>
    </row>
    <row r="64" spans="1:60" ht="12.75">
      <c r="A64" t="s">
        <v>230</v>
      </c>
      <c r="C64" s="58">
        <v>0.2</v>
      </c>
      <c r="D64" s="19">
        <f>D63*C64</f>
        <v>7590.662691311831</v>
      </c>
      <c r="E64" s="9"/>
      <c r="F64" s="9"/>
      <c r="G64" s="57">
        <f>D64*H$4</f>
        <v>14697572.449306358</v>
      </c>
      <c r="I64" s="9"/>
      <c r="J64" s="9"/>
      <c r="X64" s="1">
        <f>V61+W61+X61+Y61</f>
        <v>0</v>
      </c>
      <c r="AB64" s="1">
        <f>AB57*AB55</f>
        <v>0</v>
      </c>
      <c r="AF64" s="1">
        <f>AF61+AG61</f>
        <v>1</v>
      </c>
      <c r="AJ64" s="1">
        <f>AJ55*1</f>
        <v>0</v>
      </c>
      <c r="AM64" s="1">
        <f>AM55*1</f>
        <v>0</v>
      </c>
      <c r="AP64" s="1">
        <f>AP55*1</f>
        <v>0</v>
      </c>
      <c r="AS64" s="1">
        <f>AS55*1</f>
        <v>0</v>
      </c>
      <c r="AV64" s="1">
        <f>AV55*1</f>
        <v>0</v>
      </c>
      <c r="AY64" s="1">
        <f>AY55*AY57</f>
        <v>0</v>
      </c>
      <c r="BB64" s="1">
        <f>BB61+BC61</f>
        <v>0</v>
      </c>
      <c r="BE64" s="1">
        <f>BE55*1</f>
        <v>0</v>
      </c>
      <c r="BH64" s="1">
        <f>BH55*1</f>
        <v>0</v>
      </c>
    </row>
    <row r="65" spans="1:10" ht="12.75">
      <c r="A65" s="23" t="s">
        <v>231</v>
      </c>
      <c r="D65" s="19">
        <f>D63+D64</f>
        <v>45543.976147870984</v>
      </c>
      <c r="E65" s="9"/>
      <c r="F65" s="9"/>
      <c r="G65" s="57">
        <f>D65*H$4</f>
        <v>88185434.69583815</v>
      </c>
      <c r="I65" s="9"/>
      <c r="J65" s="9"/>
    </row>
    <row r="66" spans="1:10" ht="12.75">
      <c r="A66" t="s">
        <v>232</v>
      </c>
      <c r="C66" s="58">
        <v>0.2</v>
      </c>
      <c r="D66" s="56">
        <f>-D61*C66</f>
        <v>-7298.714126261377</v>
      </c>
      <c r="E66" s="9"/>
      <c r="F66" s="9"/>
      <c r="G66" s="57">
        <f>D66*H$4</f>
        <v>-14132281.201256117</v>
      </c>
      <c r="I66" s="9"/>
      <c r="J66" s="9"/>
    </row>
    <row r="67" spans="1:10" ht="12.75">
      <c r="A67" s="23" t="s">
        <v>233</v>
      </c>
      <c r="D67" s="19">
        <f>D65+D66</f>
        <v>38245.26202160961</v>
      </c>
      <c r="E67" s="9"/>
      <c r="F67" s="9"/>
      <c r="G67" s="57">
        <f>D67*H$4</f>
        <v>74053153.49458204</v>
      </c>
      <c r="I67" s="9"/>
      <c r="J67" s="9"/>
    </row>
    <row r="68" spans="1:10" ht="12.75">
      <c r="A68" t="s">
        <v>234</v>
      </c>
      <c r="B68" t="s">
        <v>235</v>
      </c>
      <c r="D68" s="19">
        <f>D59*0.01</f>
        <v>364.9357063130688</v>
      </c>
      <c r="E68" s="9"/>
      <c r="F68" s="9"/>
      <c r="G68" s="57">
        <f>D68*H$4</f>
        <v>706614.0600628058</v>
      </c>
      <c r="H68" s="9"/>
      <c r="I68" s="34" t="s">
        <v>236</v>
      </c>
      <c r="J68" s="9"/>
    </row>
    <row r="69" spans="1:10" ht="12.75">
      <c r="A69" t="s">
        <v>237</v>
      </c>
      <c r="B69" t="s">
        <v>238</v>
      </c>
      <c r="D69" s="19">
        <f>D59*0.02</f>
        <v>729.8714126261376</v>
      </c>
      <c r="E69" s="9"/>
      <c r="F69" s="9"/>
      <c r="G69" s="57">
        <f>D69*H$4</f>
        <v>1413228.1201256115</v>
      </c>
      <c r="H69" s="9"/>
      <c r="I69" s="34" t="s">
        <v>236</v>
      </c>
      <c r="J69" s="9"/>
    </row>
    <row r="70" spans="1:10" ht="13.5">
      <c r="A70" s="59" t="s">
        <v>239</v>
      </c>
      <c r="D70" s="9"/>
      <c r="E70" s="9"/>
      <c r="F70" s="9"/>
      <c r="G70" s="60"/>
      <c r="H70" s="9"/>
      <c r="I70" s="9"/>
      <c r="J70" s="9"/>
    </row>
    <row r="71" spans="1:10" ht="12.75">
      <c r="A71" s="42" t="s">
        <v>240</v>
      </c>
      <c r="B71" s="10">
        <v>0</v>
      </c>
      <c r="C71" s="19">
        <v>14.62</v>
      </c>
      <c r="D71" s="19">
        <f>B71*C71</f>
        <v>0</v>
      </c>
      <c r="E71" s="9"/>
      <c r="F71" s="9"/>
      <c r="G71" s="57">
        <f>D71*H$4</f>
        <v>0</v>
      </c>
      <c r="H71" s="9"/>
      <c r="J71" s="9"/>
    </row>
    <row r="72" spans="1:10" ht="12.75">
      <c r="A72" s="42" t="s">
        <v>241</v>
      </c>
      <c r="B72" s="10">
        <v>0</v>
      </c>
      <c r="C72" s="61">
        <v>0.532</v>
      </c>
      <c r="D72" s="19">
        <f>B72*C72</f>
        <v>0</v>
      </c>
      <c r="E72" s="9"/>
      <c r="F72" s="9"/>
      <c r="G72" s="57">
        <f>D72*H$4</f>
        <v>0</v>
      </c>
      <c r="H72" s="9"/>
      <c r="J72" s="9"/>
    </row>
    <row r="73" spans="1:10" ht="12.75">
      <c r="A73" s="42" t="s">
        <v>242</v>
      </c>
      <c r="B73" s="15"/>
      <c r="C73" s="19">
        <v>0</v>
      </c>
      <c r="D73" s="19">
        <f>C73</f>
        <v>0</v>
      </c>
      <c r="E73" s="9"/>
      <c r="F73" s="9"/>
      <c r="G73" s="57">
        <f>D73*H$4</f>
        <v>0</v>
      </c>
      <c r="H73" s="9"/>
      <c r="J73" s="9"/>
    </row>
    <row r="74" spans="1:10" ht="13.5">
      <c r="A74" s="42" t="s">
        <v>243</v>
      </c>
      <c r="B74" s="15" t="s">
        <v>244</v>
      </c>
      <c r="C74" s="15"/>
      <c r="D74" s="19">
        <f>D71+D72+D73</f>
        <v>0</v>
      </c>
      <c r="E74" s="9"/>
      <c r="F74" s="9"/>
      <c r="G74" s="57">
        <f>D74*H$4</f>
        <v>0</v>
      </c>
      <c r="H74" s="9"/>
      <c r="J74" s="9"/>
    </row>
    <row r="75" spans="1:10" ht="12.75">
      <c r="A75" s="23" t="s">
        <v>245</v>
      </c>
      <c r="B75" s="15"/>
      <c r="C75" t="s">
        <v>246</v>
      </c>
      <c r="D75" s="19">
        <f>D67+D74</f>
        <v>38245.26202160961</v>
      </c>
      <c r="E75" s="9"/>
      <c r="F75" s="9"/>
      <c r="G75" s="57">
        <f>D75*H$4</f>
        <v>74053153.49458204</v>
      </c>
      <c r="H75" s="9"/>
      <c r="J75" s="9"/>
    </row>
    <row r="76" spans="1:10" ht="12.75">
      <c r="A76" s="23" t="s">
        <v>245</v>
      </c>
      <c r="B76" s="15"/>
      <c r="C76" t="s">
        <v>238</v>
      </c>
      <c r="D76" s="19">
        <f>D67+D69+D74</f>
        <v>38975.13343423575</v>
      </c>
      <c r="E76" s="9"/>
      <c r="F76" s="9"/>
      <c r="G76" s="57">
        <f>D76*H$4</f>
        <v>75466381.61470766</v>
      </c>
      <c r="H76" s="9"/>
      <c r="J76" s="9"/>
    </row>
    <row r="77" spans="1:10" ht="12.75">
      <c r="A77" s="23"/>
      <c r="B77" s="15"/>
      <c r="D77" s="19"/>
      <c r="E77" s="9"/>
      <c r="F77" s="9"/>
      <c r="G77" s="57"/>
      <c r="H77" s="9"/>
      <c r="J77" s="9"/>
    </row>
    <row r="78" spans="1:10" ht="12.75">
      <c r="A78" s="62" t="s">
        <v>247</v>
      </c>
      <c r="B78" s="15"/>
      <c r="D78" s="19"/>
      <c r="E78" s="9"/>
      <c r="F78" s="9"/>
      <c r="G78" s="57"/>
      <c r="H78" s="9"/>
      <c r="J78" s="9"/>
    </row>
    <row r="79" spans="2:10" ht="12.75">
      <c r="B79" s="63" t="s">
        <v>248</v>
      </c>
      <c r="C79" s="64" t="s">
        <v>249</v>
      </c>
      <c r="D79" s="65" t="s">
        <v>248</v>
      </c>
      <c r="E79" s="9"/>
      <c r="F79" s="9"/>
      <c r="G79" s="65" t="s">
        <v>250</v>
      </c>
      <c r="H79" s="65"/>
      <c r="I79" s="9"/>
      <c r="J79" s="9"/>
    </row>
    <row r="80" spans="1:9" ht="12.75">
      <c r="A80" s="62"/>
      <c r="B80" s="64" t="s">
        <v>251</v>
      </c>
      <c r="C80" s="64" t="s">
        <v>252</v>
      </c>
      <c r="D80" s="64" t="s">
        <v>253</v>
      </c>
      <c r="E80" s="9"/>
      <c r="F80" s="9"/>
      <c r="G80" s="64" t="s">
        <v>254</v>
      </c>
      <c r="H80" s="64" t="s">
        <v>255</v>
      </c>
      <c r="I80" s="9"/>
    </row>
    <row r="81" spans="1:9" ht="12.75">
      <c r="A81" s="62"/>
      <c r="B81" s="66"/>
      <c r="C81" s="66"/>
      <c r="E81" s="9"/>
      <c r="F81" s="9"/>
      <c r="G81" s="9"/>
      <c r="H81" s="66"/>
      <c r="I81" s="9"/>
    </row>
    <row r="82" spans="1:9" ht="12.75">
      <c r="A82" s="62" t="s">
        <v>256</v>
      </c>
      <c r="B82" s="67">
        <f>D82/$H$4</f>
        <v>92.96224183610757</v>
      </c>
      <c r="C82" s="68">
        <v>0.3</v>
      </c>
      <c r="D82" s="64">
        <v>180000</v>
      </c>
      <c r="E82" s="9"/>
      <c r="F82" s="9"/>
      <c r="G82" s="69">
        <f>D82*C82</f>
        <v>54000</v>
      </c>
      <c r="H82" s="2"/>
      <c r="I82" s="9"/>
    </row>
    <row r="83" spans="1:9" ht="12.75">
      <c r="A83" s="62"/>
      <c r="B83" s="67"/>
      <c r="C83" s="64"/>
      <c r="D83" s="64"/>
      <c r="E83" s="9"/>
      <c r="F83" s="9"/>
      <c r="G83" s="70"/>
      <c r="H83" s="71"/>
      <c r="I83" s="9"/>
    </row>
    <row r="84" spans="1:9" ht="12.75">
      <c r="A84" s="62" t="s">
        <v>257</v>
      </c>
      <c r="B84" s="67">
        <v>280</v>
      </c>
      <c r="C84" s="68">
        <v>0.3</v>
      </c>
      <c r="D84" s="72">
        <f>B84*$H$4</f>
        <v>542155.6</v>
      </c>
      <c r="E84" s="9"/>
      <c r="F84" s="9"/>
      <c r="G84" s="69">
        <f>D84*C84</f>
        <v>162646.68</v>
      </c>
      <c r="H84" s="71"/>
      <c r="I84" s="9"/>
    </row>
    <row r="85" spans="1:9" ht="12.75">
      <c r="A85" s="62" t="s">
        <v>258</v>
      </c>
      <c r="B85" s="67"/>
      <c r="C85" s="64"/>
      <c r="D85" s="64"/>
      <c r="E85" s="9"/>
      <c r="F85" s="9"/>
      <c r="G85" s="2"/>
      <c r="H85" s="71"/>
      <c r="I85" s="9"/>
    </row>
    <row r="86" spans="1:9" ht="12.75">
      <c r="A86" s="62" t="s">
        <v>259</v>
      </c>
      <c r="B86" s="67"/>
      <c r="C86" s="64"/>
      <c r="D86" s="64"/>
      <c r="E86" s="9"/>
      <c r="F86" s="9"/>
      <c r="G86" s="2"/>
      <c r="H86" s="71"/>
      <c r="I86" s="9"/>
    </row>
    <row r="87" spans="1:9" ht="12.75">
      <c r="A87" s="62" t="s">
        <v>260</v>
      </c>
      <c r="B87" s="67"/>
      <c r="C87" s="64"/>
      <c r="D87" s="64"/>
      <c r="E87" s="9"/>
      <c r="F87" s="9"/>
      <c r="G87" s="2"/>
      <c r="H87" s="71"/>
      <c r="I87" s="9"/>
    </row>
    <row r="88" spans="1:9" ht="12.75">
      <c r="A88" s="62" t="s">
        <v>261</v>
      </c>
      <c r="B88" s="67">
        <v>400</v>
      </c>
      <c r="C88" s="68">
        <v>0.3</v>
      </c>
      <c r="D88" s="64">
        <f>B88*$H$4</f>
        <v>774508</v>
      </c>
      <c r="E88" s="9"/>
      <c r="F88" s="9"/>
      <c r="G88" s="69">
        <f>D88*C88</f>
        <v>232352.4</v>
      </c>
      <c r="H88" s="71"/>
      <c r="I88" s="9"/>
    </row>
    <row r="89" spans="1:9" ht="12.75">
      <c r="A89" s="62" t="s">
        <v>262</v>
      </c>
      <c r="B89" s="67">
        <v>240</v>
      </c>
      <c r="C89" s="68">
        <v>0.3</v>
      </c>
      <c r="D89" s="72">
        <f>B89*$H$4</f>
        <v>464704.8</v>
      </c>
      <c r="E89" s="9"/>
      <c r="F89" s="9"/>
      <c r="G89" s="69">
        <f>D89*C89</f>
        <v>139411.44</v>
      </c>
      <c r="H89" s="71"/>
      <c r="I89" s="9"/>
    </row>
    <row r="90" spans="1:11" ht="12.75">
      <c r="A90" s="62"/>
      <c r="B90" s="73"/>
      <c r="C90" s="64"/>
      <c r="D90" s="74"/>
      <c r="E90" s="9"/>
      <c r="F90" s="9"/>
      <c r="G90" s="75"/>
      <c r="H90" s="71"/>
      <c r="I90" s="9"/>
      <c r="J90" s="39"/>
      <c r="K90" s="39"/>
    </row>
    <row r="91" spans="1:9" ht="12.75">
      <c r="A91" s="62" t="s">
        <v>263</v>
      </c>
      <c r="B91" s="67"/>
      <c r="C91" s="64"/>
      <c r="D91" s="76"/>
      <c r="E91" s="9"/>
      <c r="F91" s="9"/>
      <c r="G91" s="2" t="s">
        <v>264</v>
      </c>
      <c r="H91" s="71"/>
      <c r="I91" s="9"/>
    </row>
    <row r="92" spans="1:19" ht="12.75">
      <c r="A92" s="62" t="s">
        <v>265</v>
      </c>
      <c r="B92" s="67"/>
      <c r="C92" s="68">
        <v>0.7</v>
      </c>
      <c r="D92" s="67">
        <f>G92/H4</f>
        <v>144.60793174505622</v>
      </c>
      <c r="E92" s="9"/>
      <c r="F92" s="9"/>
      <c r="G92" s="2">
        <v>280000</v>
      </c>
      <c r="H92" s="77">
        <f>G92*C92</f>
        <v>196000</v>
      </c>
      <c r="I92" s="9"/>
      <c r="L92" s="39"/>
      <c r="M92" s="39"/>
      <c r="N92" s="39"/>
      <c r="O92" s="39"/>
      <c r="P92" s="14"/>
      <c r="Q92" s="14"/>
      <c r="R92" s="14"/>
      <c r="S92" s="39"/>
    </row>
    <row r="93" spans="1:9" ht="12.75">
      <c r="A93" s="62" t="s">
        <v>266</v>
      </c>
      <c r="B93" s="67"/>
      <c r="C93" s="64"/>
      <c r="D93" s="76"/>
      <c r="E93" s="9"/>
      <c r="F93" s="9"/>
      <c r="G93" s="2" t="s">
        <v>267</v>
      </c>
      <c r="H93" s="71" t="s">
        <v>268</v>
      </c>
      <c r="I93" s="9"/>
    </row>
    <row r="94" spans="1:9" ht="12.75">
      <c r="A94" s="62" t="s">
        <v>269</v>
      </c>
      <c r="B94" s="67"/>
      <c r="C94" s="68">
        <v>0.7</v>
      </c>
      <c r="D94" s="67">
        <v>320</v>
      </c>
      <c r="E94" s="9"/>
      <c r="F94" s="9"/>
      <c r="G94" s="75">
        <f>D94*H$4</f>
        <v>619606.4</v>
      </c>
      <c r="H94" s="77">
        <f>D94*$H$4*C94</f>
        <v>433724.48</v>
      </c>
      <c r="I94" s="9"/>
    </row>
    <row r="95" spans="1:9" ht="12.75">
      <c r="A95" s="62" t="s">
        <v>270</v>
      </c>
      <c r="B95" s="67"/>
      <c r="C95" s="68">
        <v>0.7</v>
      </c>
      <c r="D95" s="67">
        <v>300</v>
      </c>
      <c r="E95" s="9"/>
      <c r="F95" s="9"/>
      <c r="G95" s="75">
        <f>D95*H$4</f>
        <v>580881</v>
      </c>
      <c r="H95" s="77">
        <f>D95*$H$4*C95</f>
        <v>406616.69999999995</v>
      </c>
      <c r="I95" s="9"/>
    </row>
    <row r="96" spans="1:9" ht="12.75">
      <c r="A96" s="62" t="s">
        <v>271</v>
      </c>
      <c r="B96" s="67"/>
      <c r="C96" s="68">
        <v>0.7</v>
      </c>
      <c r="D96" s="67">
        <v>270</v>
      </c>
      <c r="E96" s="9"/>
      <c r="F96" s="9"/>
      <c r="G96" s="75">
        <f>D96*H$4</f>
        <v>522792.9</v>
      </c>
      <c r="H96" s="77">
        <f>D96*$H$4*C96</f>
        <v>365955.02999999997</v>
      </c>
      <c r="I96" s="9"/>
    </row>
    <row r="97" spans="1:9" ht="12.75">
      <c r="A97" s="62" t="s">
        <v>272</v>
      </c>
      <c r="B97" s="67"/>
      <c r="C97" s="68">
        <v>0.7</v>
      </c>
      <c r="D97" s="67">
        <v>330</v>
      </c>
      <c r="E97" s="9"/>
      <c r="F97" s="9"/>
      <c r="G97" s="75">
        <f>D97*H$4</f>
        <v>638969.1</v>
      </c>
      <c r="H97" s="77">
        <f>D97*$H$4*C97</f>
        <v>447278.36999999994</v>
      </c>
      <c r="I97" s="9"/>
    </row>
    <row r="98" spans="1:9" ht="12.75">
      <c r="A98" s="62" t="s">
        <v>273</v>
      </c>
      <c r="B98" s="67"/>
      <c r="C98" s="68">
        <v>0.7</v>
      </c>
      <c r="D98" s="67">
        <v>310</v>
      </c>
      <c r="E98" s="9"/>
      <c r="F98" s="9"/>
      <c r="G98" s="75">
        <f>D98*H$4</f>
        <v>600243.7</v>
      </c>
      <c r="H98" s="77">
        <f>D98*$H$4*C98</f>
        <v>420170.58999999997</v>
      </c>
      <c r="I98" s="9"/>
    </row>
    <row r="99" spans="1:113" s="39" customFormat="1" ht="12.75">
      <c r="A99" s="62" t="s">
        <v>274</v>
      </c>
      <c r="B99" s="67"/>
      <c r="C99" s="68">
        <v>0.7</v>
      </c>
      <c r="D99" s="67">
        <v>280</v>
      </c>
      <c r="E99" s="9"/>
      <c r="F99" s="9"/>
      <c r="G99" s="75">
        <f>D99*H$4</f>
        <v>542155.6</v>
      </c>
      <c r="H99" s="77">
        <f>D99*$H$4*C99</f>
        <v>379508.92</v>
      </c>
      <c r="I99" s="9"/>
      <c r="J99"/>
      <c r="K99"/>
      <c r="L99"/>
      <c r="M99"/>
      <c r="N99"/>
      <c r="O99"/>
      <c r="P99" s="1"/>
      <c r="Q99" s="1"/>
      <c r="R99" s="1"/>
      <c r="S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75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</row>
    <row r="100" spans="1:9" ht="12.75">
      <c r="A100" s="62" t="s">
        <v>275</v>
      </c>
      <c r="B100" s="67"/>
      <c r="C100" s="68">
        <v>0.7</v>
      </c>
      <c r="D100" s="67">
        <v>350</v>
      </c>
      <c r="E100" s="9"/>
      <c r="F100" s="9"/>
      <c r="G100" s="75">
        <f>D100*H$4</f>
        <v>677694.5</v>
      </c>
      <c r="H100" s="77">
        <f>D100*$H$4*C100</f>
        <v>474386.14999999997</v>
      </c>
      <c r="I100" s="9"/>
    </row>
    <row r="101" spans="1:9" ht="12.75">
      <c r="A101" s="62" t="s">
        <v>276</v>
      </c>
      <c r="B101" s="67"/>
      <c r="C101" s="68">
        <v>0.7</v>
      </c>
      <c r="D101" s="67">
        <v>320</v>
      </c>
      <c r="E101" s="9"/>
      <c r="F101" s="9"/>
      <c r="G101" s="75">
        <f>D101*H$4</f>
        <v>619606.4</v>
      </c>
      <c r="H101" s="77">
        <f>D101*$H$4*C101</f>
        <v>433724.48</v>
      </c>
      <c r="I101" s="9"/>
    </row>
    <row r="102" spans="1:9" ht="12.75">
      <c r="A102" s="62" t="s">
        <v>277</v>
      </c>
      <c r="B102" s="67"/>
      <c r="C102" s="68">
        <v>0.7</v>
      </c>
      <c r="D102" s="67">
        <v>300</v>
      </c>
      <c r="E102" s="9"/>
      <c r="F102" s="9"/>
      <c r="G102" s="75">
        <f>D102*H$4</f>
        <v>580881</v>
      </c>
      <c r="H102" s="77">
        <f>D102*$H$4*C102</f>
        <v>406616.69999999995</v>
      </c>
      <c r="I102" s="9"/>
    </row>
    <row r="103" spans="1:9" ht="12.75">
      <c r="A103" s="62"/>
      <c r="B103" s="67"/>
      <c r="C103" s="64"/>
      <c r="D103" s="67"/>
      <c r="E103" s="9"/>
      <c r="F103" s="9"/>
      <c r="H103" s="72"/>
      <c r="I103" s="9"/>
    </row>
    <row r="104" spans="1:19" ht="12.75">
      <c r="A104" s="62" t="s">
        <v>278</v>
      </c>
      <c r="B104" s="78"/>
      <c r="C104" s="78"/>
      <c r="D104" s="78"/>
      <c r="E104" s="9"/>
      <c r="F104" s="9"/>
      <c r="G104" s="79"/>
      <c r="H104" s="74"/>
      <c r="I104" s="9"/>
      <c r="J104" s="9"/>
      <c r="K104" s="39"/>
      <c r="L104" s="39"/>
      <c r="M104" s="39"/>
      <c r="N104" s="39"/>
      <c r="O104" s="39"/>
      <c r="P104" s="14"/>
      <c r="Q104" s="14"/>
      <c r="R104" s="14"/>
      <c r="S104" s="39"/>
    </row>
    <row r="105" spans="2:10" ht="12.75">
      <c r="B105" s="63" t="s">
        <v>248</v>
      </c>
      <c r="C105" s="64" t="s">
        <v>249</v>
      </c>
      <c r="D105" s="66"/>
      <c r="E105" s="9"/>
      <c r="F105" s="9"/>
      <c r="G105" s="79" t="s">
        <v>248</v>
      </c>
      <c r="H105" s="76"/>
      <c r="I105" s="9"/>
      <c r="J105" s="9"/>
    </row>
    <row r="106" spans="2:10" ht="12.75">
      <c r="B106" s="64" t="s">
        <v>251</v>
      </c>
      <c r="C106" s="64" t="s">
        <v>252</v>
      </c>
      <c r="D106" s="66"/>
      <c r="E106" s="9"/>
      <c r="F106" s="9"/>
      <c r="G106" s="67" t="s">
        <v>254</v>
      </c>
      <c r="H106" s="76"/>
      <c r="I106" s="9"/>
      <c r="J106" s="9"/>
    </row>
    <row r="107" spans="1:10" ht="12.75">
      <c r="A107" s="62" t="s">
        <v>279</v>
      </c>
      <c r="B107" s="67">
        <v>50</v>
      </c>
      <c r="C107" s="66"/>
      <c r="D107" s="66"/>
      <c r="E107" s="9"/>
      <c r="F107" s="9"/>
      <c r="G107" s="72">
        <f>B107*$H$4</f>
        <v>96813.5</v>
      </c>
      <c r="H107" s="76"/>
      <c r="I107" s="9"/>
      <c r="J107" s="9"/>
    </row>
    <row r="108" spans="1:10" ht="12.75">
      <c r="A108" s="62" t="s">
        <v>280</v>
      </c>
      <c r="B108" s="67">
        <v>90</v>
      </c>
      <c r="C108" s="64"/>
      <c r="D108" s="66"/>
      <c r="E108" s="9"/>
      <c r="F108" s="9"/>
      <c r="G108" s="72">
        <f>B108*$H$4</f>
        <v>174264.3</v>
      </c>
      <c r="I108" s="9"/>
      <c r="J108" s="9"/>
    </row>
    <row r="109" spans="1:10" ht="12.75">
      <c r="A109" s="62" t="s">
        <v>281</v>
      </c>
      <c r="B109" s="67">
        <v>150</v>
      </c>
      <c r="C109" s="66"/>
      <c r="D109" s="66"/>
      <c r="E109" s="9"/>
      <c r="F109" s="9"/>
      <c r="G109" s="72">
        <f>B109*$H$4</f>
        <v>290440.5</v>
      </c>
      <c r="I109" s="9"/>
      <c r="J109" s="9"/>
    </row>
    <row r="110" spans="1:10" ht="12.75">
      <c r="A110" s="62" t="s">
        <v>282</v>
      </c>
      <c r="B110" s="67">
        <v>180</v>
      </c>
      <c r="C110" s="64">
        <v>30</v>
      </c>
      <c r="D110" s="66"/>
      <c r="E110" s="9"/>
      <c r="F110" s="9"/>
      <c r="G110" s="72">
        <f>B110*$H$4</f>
        <v>348528.6</v>
      </c>
      <c r="I110" s="9"/>
      <c r="J110" s="9"/>
    </row>
    <row r="111" spans="1:113" s="39" customFormat="1" ht="12.75">
      <c r="A111" s="62" t="s">
        <v>283</v>
      </c>
      <c r="B111" s="67">
        <v>320</v>
      </c>
      <c r="C111" s="64">
        <v>40</v>
      </c>
      <c r="D111" s="66"/>
      <c r="E111" s="9"/>
      <c r="F111" s="9"/>
      <c r="G111" s="72">
        <f>B111*$H$4</f>
        <v>619606.4</v>
      </c>
      <c r="H111"/>
      <c r="I111" s="9"/>
      <c r="J111" s="9"/>
      <c r="K111"/>
      <c r="L111"/>
      <c r="M111"/>
      <c r="N111"/>
      <c r="O111"/>
      <c r="P111" s="1"/>
      <c r="Q111" s="1"/>
      <c r="R111" s="1"/>
      <c r="S111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75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</row>
    <row r="112" spans="1:10" ht="12.75">
      <c r="A112" s="62" t="s">
        <v>284</v>
      </c>
      <c r="B112" s="67"/>
      <c r="C112" s="64"/>
      <c r="D112" s="66"/>
      <c r="E112" s="9"/>
      <c r="F112" s="9"/>
      <c r="G112" s="72"/>
      <c r="I112" s="9"/>
      <c r="J112" s="9"/>
    </row>
    <row r="113" spans="1:10" ht="12.75">
      <c r="A113" s="23"/>
      <c r="B113" s="15"/>
      <c r="D113" s="19"/>
      <c r="E113" s="9"/>
      <c r="F113" s="9"/>
      <c r="G113" s="57"/>
      <c r="H113" s="9"/>
      <c r="J113" s="9"/>
    </row>
    <row r="114" spans="1:10" ht="12.75">
      <c r="A114" s="23"/>
      <c r="B114" s="15"/>
      <c r="D114" s="19"/>
      <c r="E114" s="9"/>
      <c r="F114" s="9"/>
      <c r="G114" s="57"/>
      <c r="H114" s="9"/>
      <c r="J114" s="9"/>
    </row>
    <row r="115" spans="1:10" ht="12.75">
      <c r="A115" s="23"/>
      <c r="B115" s="15"/>
      <c r="D115" s="19"/>
      <c r="E115" s="9"/>
      <c r="F115" s="9"/>
      <c r="G115" s="57"/>
      <c r="H115" s="9"/>
      <c r="J115" s="9"/>
    </row>
    <row r="116" spans="1:10" ht="12.75">
      <c r="A116" s="23"/>
      <c r="B116" s="15"/>
      <c r="D116" s="19"/>
      <c r="E116" s="9"/>
      <c r="F116" s="9"/>
      <c r="G116" s="57"/>
      <c r="H116" s="9"/>
      <c r="J116" s="9"/>
    </row>
    <row r="117" spans="1:10" ht="12.75">
      <c r="A117" s="23"/>
      <c r="B117" s="15"/>
      <c r="D117" s="19"/>
      <c r="E117" s="9"/>
      <c r="F117" s="9"/>
      <c r="G117" s="57"/>
      <c r="H117" s="9"/>
      <c r="J117" s="9"/>
    </row>
    <row r="118" spans="2:10" ht="12.75">
      <c r="B118" t="s">
        <v>285</v>
      </c>
      <c r="C118" s="28">
        <v>1.43</v>
      </c>
      <c r="D118" s="9" t="s">
        <v>286</v>
      </c>
      <c r="E118" s="9"/>
      <c r="F118" s="9"/>
      <c r="G118" s="9"/>
      <c r="H118" s="9"/>
      <c r="I118" s="9"/>
      <c r="J118" s="9"/>
    </row>
    <row r="120" spans="1:10" ht="12.75">
      <c r="A120" s="80"/>
      <c r="B120" s="81" t="s">
        <v>287</v>
      </c>
      <c r="C120" s="81" t="s">
        <v>156</v>
      </c>
      <c r="D120" s="82"/>
      <c r="E120" s="83"/>
      <c r="F120" s="84"/>
      <c r="G120" s="9" t="s">
        <v>288</v>
      </c>
      <c r="H120" s="9" t="s">
        <v>289</v>
      </c>
      <c r="I120" s="9"/>
      <c r="J120" s="9"/>
    </row>
    <row r="121" spans="1:10" ht="12.75">
      <c r="A121" s="62" t="s">
        <v>290</v>
      </c>
      <c r="B121" s="64" t="b">
        <f>F29=B120</f>
        <v>0</v>
      </c>
      <c r="C121" s="64" t="b">
        <f>F29=C120</f>
        <v>1</v>
      </c>
      <c r="D121" s="66">
        <f>B121+C121</f>
        <v>1</v>
      </c>
      <c r="E121" s="85"/>
      <c r="F121" s="86"/>
      <c r="G121" s="9"/>
      <c r="H121" s="9"/>
      <c r="I121" s="9"/>
      <c r="J121" s="9"/>
    </row>
    <row r="122" spans="1:10" ht="12.75">
      <c r="A122" s="62" t="s">
        <v>291</v>
      </c>
      <c r="B122" s="64" t="b">
        <f>B28=E133</f>
        <v>0</v>
      </c>
      <c r="C122" s="64" t="b">
        <f>B28=F133</f>
        <v>1</v>
      </c>
      <c r="D122" s="66">
        <f>B122+C122</f>
        <v>1</v>
      </c>
      <c r="E122" s="85"/>
      <c r="F122" s="86"/>
      <c r="G122" s="9"/>
      <c r="H122" s="9" t="e">
        <f>G132</f>
        <v>#REF!</v>
      </c>
      <c r="I122" s="9"/>
      <c r="J122" s="9"/>
    </row>
    <row r="123" spans="1:10" ht="12.75">
      <c r="A123" s="62" t="s">
        <v>292</v>
      </c>
      <c r="B123" s="64">
        <f>B29=B120</f>
        <v>0</v>
      </c>
      <c r="C123" s="64" t="b">
        <f>B29=C120</f>
        <v>1</v>
      </c>
      <c r="D123" s="66">
        <f>B123+C123</f>
        <v>1</v>
      </c>
      <c r="E123" s="85"/>
      <c r="F123" s="86"/>
      <c r="G123" s="9"/>
      <c r="H123" s="9"/>
      <c r="I123" s="9"/>
      <c r="J123" s="9"/>
    </row>
    <row r="124" spans="1:10" ht="12.75">
      <c r="A124" s="62" t="s">
        <v>293</v>
      </c>
      <c r="B124" s="64" t="e">
        <f>#REF!=B120</f>
        <v>#REF!</v>
      </c>
      <c r="C124" s="64" t="e">
        <f>#REF!=C120</f>
        <v>#REF!</v>
      </c>
      <c r="D124" s="66" t="e">
        <f>B124+C124</f>
        <v>#REF!</v>
      </c>
      <c r="E124" s="66" t="e">
        <f>B124+B125+B126</f>
        <v>#REF!</v>
      </c>
      <c r="F124" s="86"/>
      <c r="G124" s="18" t="e">
        <f>5*B124</f>
        <v>#REF!</v>
      </c>
      <c r="H124" s="9">
        <v>10</v>
      </c>
      <c r="I124" s="9"/>
      <c r="J124" s="9"/>
    </row>
    <row r="125" spans="1:10" ht="12.75">
      <c r="A125" s="62" t="s">
        <v>294</v>
      </c>
      <c r="B125" s="66" t="e">
        <f>#REF!=B120</f>
        <v>#REF!</v>
      </c>
      <c r="C125" s="66" t="e">
        <f>#REF!=C120</f>
        <v>#REF!</v>
      </c>
      <c r="D125" s="66" t="e">
        <f>B125+C125</f>
        <v>#REF!</v>
      </c>
      <c r="E125" s="85"/>
      <c r="F125" s="86"/>
      <c r="G125" s="9"/>
      <c r="J125" s="9"/>
    </row>
    <row r="126" spans="1:10" ht="12.75">
      <c r="A126" s="62" t="s">
        <v>295</v>
      </c>
      <c r="B126" s="66" t="e">
        <f>#REF!=B120</f>
        <v>#REF!</v>
      </c>
      <c r="C126" s="66" t="e">
        <f>#REF!=C120</f>
        <v>#REF!</v>
      </c>
      <c r="D126" s="66" t="e">
        <f>B126+C126</f>
        <v>#REF!</v>
      </c>
      <c r="E126" s="66"/>
      <c r="F126" s="86"/>
      <c r="G126" s="15" t="e">
        <f>10*B126</f>
        <v>#REF!</v>
      </c>
      <c r="J126" s="9"/>
    </row>
    <row r="127" spans="1:10" ht="12.75">
      <c r="A127" s="62" t="s">
        <v>296</v>
      </c>
      <c r="B127" s="66" t="e">
        <f>#REF!=B120</f>
        <v>#REF!</v>
      </c>
      <c r="C127" s="66" t="e">
        <f>#REF!=C120</f>
        <v>#REF!</v>
      </c>
      <c r="D127" s="66" t="e">
        <f>B127+C127</f>
        <v>#REF!</v>
      </c>
      <c r="E127" s="66" t="e">
        <f>B127+B128+B129</f>
        <v>#REF!</v>
      </c>
      <c r="F127" s="86"/>
      <c r="G127" s="9">
        <v>30</v>
      </c>
      <c r="H127" s="9"/>
      <c r="I127" s="9"/>
      <c r="J127" s="9"/>
    </row>
    <row r="128" spans="1:10" ht="13.5">
      <c r="A128" s="62" t="s">
        <v>297</v>
      </c>
      <c r="B128" s="66" t="e">
        <f>#REF!=B120</f>
        <v>#REF!</v>
      </c>
      <c r="C128" s="66" t="e">
        <f>#REF!=C120</f>
        <v>#REF!</v>
      </c>
      <c r="D128" s="66" t="e">
        <f>B128+C128</f>
        <v>#REF!</v>
      </c>
      <c r="E128" s="85"/>
      <c r="F128" s="86"/>
      <c r="G128" s="15" t="e">
        <f>10*B128</f>
        <v>#REF!</v>
      </c>
      <c r="J128" s="9"/>
    </row>
    <row r="129" spans="1:10" ht="13.5">
      <c r="A129" s="62" t="s">
        <v>298</v>
      </c>
      <c r="B129" s="66" t="e">
        <f>#REF!=B120</f>
        <v>#REF!</v>
      </c>
      <c r="C129" s="66" t="e">
        <f>#REF!=C120</f>
        <v>#REF!</v>
      </c>
      <c r="D129" s="66" t="e">
        <f>B129+C129</f>
        <v>#REF!</v>
      </c>
      <c r="E129" s="66"/>
      <c r="F129" s="86"/>
      <c r="G129" s="50" t="e">
        <f>15*B129</f>
        <v>#REF!</v>
      </c>
      <c r="J129" s="9"/>
    </row>
    <row r="130" spans="1:10" ht="12.75">
      <c r="A130" s="62" t="s">
        <v>299</v>
      </c>
      <c r="B130" s="66" t="e">
        <f>B124+B129</f>
        <v>#REF!</v>
      </c>
      <c r="C130" s="66" t="e">
        <f>B130=2</f>
        <v>#REF!</v>
      </c>
      <c r="D130" s="85" t="e">
        <f>SUM(D121:D129)</f>
        <v>#REF!</v>
      </c>
      <c r="E130" s="85"/>
      <c r="F130" s="86"/>
      <c r="G130" s="9"/>
      <c r="H130" s="9" t="e">
        <f>-5*C130</f>
        <v>#REF!</v>
      </c>
      <c r="I130" s="9"/>
      <c r="J130" s="9"/>
    </row>
    <row r="131" spans="1:10" ht="12.75">
      <c r="A131" s="87" t="s">
        <v>299</v>
      </c>
      <c r="B131" s="88" t="e">
        <f>B126+B129</f>
        <v>#REF!</v>
      </c>
      <c r="C131" s="88" t="e">
        <f>B131=2</f>
        <v>#REF!</v>
      </c>
      <c r="D131" s="89"/>
      <c r="E131" s="89"/>
      <c r="F131" s="90"/>
      <c r="G131" s="9"/>
      <c r="H131" s="9" t="e">
        <f>-5*C131</f>
        <v>#REF!</v>
      </c>
      <c r="I131" s="9"/>
      <c r="J131" s="9"/>
    </row>
    <row r="132" spans="4:10" ht="12.75">
      <c r="D132" s="9"/>
      <c r="E132" s="9"/>
      <c r="F132" s="9"/>
      <c r="G132" s="9" t="e">
        <f>SUM(G124:G131)</f>
        <v>#REF!</v>
      </c>
      <c r="H132" s="9" t="e">
        <f>SUM(H122:H131)</f>
        <v>#REF!</v>
      </c>
      <c r="I132" s="9"/>
      <c r="J132" s="9"/>
    </row>
    <row r="133" spans="1:10" ht="12.75">
      <c r="A133" s="80" t="s">
        <v>291</v>
      </c>
      <c r="B133" s="82" t="b">
        <f>B28=E133</f>
        <v>0</v>
      </c>
      <c r="C133" s="83" t="s">
        <v>300</v>
      </c>
      <c r="D133" s="82" t="b">
        <f>B28=F133</f>
        <v>1</v>
      </c>
      <c r="E133" s="83" t="s">
        <v>287</v>
      </c>
      <c r="F133" s="84" t="s">
        <v>156</v>
      </c>
      <c r="G133" s="9"/>
      <c r="H133" s="9"/>
      <c r="I133" s="9"/>
      <c r="J133" s="9"/>
    </row>
    <row r="134" spans="1:10" ht="12.75">
      <c r="A134" s="62" t="s">
        <v>301</v>
      </c>
      <c r="B134" s="66" t="b">
        <f>B29=E134</f>
        <v>0</v>
      </c>
      <c r="C134" s="85" t="b">
        <f>B29=F134</f>
        <v>1</v>
      </c>
      <c r="D134" s="66">
        <f>B134+C134</f>
        <v>1</v>
      </c>
      <c r="E134" s="85" t="s">
        <v>287</v>
      </c>
      <c r="F134" s="86" t="s">
        <v>156</v>
      </c>
      <c r="G134" s="9"/>
      <c r="H134" s="9"/>
      <c r="I134" s="9"/>
      <c r="J134" s="9"/>
    </row>
    <row r="135" spans="1:10" ht="12.75">
      <c r="A135" s="62" t="s">
        <v>302</v>
      </c>
      <c r="B135" s="66">
        <f>B7=9</f>
        <v>0</v>
      </c>
      <c r="C135" s="66">
        <f>B133+B136+B137+C136</f>
        <v>0</v>
      </c>
      <c r="D135" s="66">
        <f>C133=3</f>
        <v>0</v>
      </c>
      <c r="E135" s="66"/>
      <c r="F135" s="91"/>
      <c r="G135" s="9"/>
      <c r="H135" s="9"/>
      <c r="I135" s="9"/>
      <c r="J135" s="9"/>
    </row>
    <row r="136" spans="1:10" ht="12.75">
      <c r="A136" s="62" t="s">
        <v>303</v>
      </c>
      <c r="B136" s="66" t="b">
        <f>B8=E136</f>
        <v>0</v>
      </c>
      <c r="C136" s="66" t="b">
        <f>B8=F136</f>
        <v>0</v>
      </c>
      <c r="D136" s="66">
        <f>0.06*D133</f>
        <v>0.06</v>
      </c>
      <c r="E136" s="85" t="s">
        <v>34</v>
      </c>
      <c r="F136" s="86" t="s">
        <v>35</v>
      </c>
      <c r="G136" s="9"/>
      <c r="H136" s="9"/>
      <c r="I136" s="9"/>
      <c r="J136" s="9"/>
    </row>
    <row r="137" spans="1:10" ht="12.75">
      <c r="A137" s="62" t="s">
        <v>304</v>
      </c>
      <c r="B137" s="66" t="b">
        <f>B29=E137</f>
        <v>0</v>
      </c>
      <c r="C137" s="66"/>
      <c r="D137" s="85"/>
      <c r="E137" s="85" t="s">
        <v>287</v>
      </c>
      <c r="F137" s="86"/>
      <c r="G137" s="9"/>
      <c r="H137" s="9"/>
      <c r="I137" s="9"/>
      <c r="J137" s="9"/>
    </row>
    <row r="138" spans="1:10" ht="12.75">
      <c r="A138" s="62" t="s">
        <v>305</v>
      </c>
      <c r="B138" s="66" t="b">
        <f>B7=1</f>
        <v>1</v>
      </c>
      <c r="C138" s="66">
        <f>B137+B138+B139</f>
        <v>2</v>
      </c>
      <c r="D138" s="66" t="b">
        <f>C138=3</f>
        <v>0</v>
      </c>
      <c r="E138" s="85"/>
      <c r="F138" s="86"/>
      <c r="G138" s="9"/>
      <c r="H138" s="9"/>
      <c r="I138" s="9"/>
      <c r="J138" s="9"/>
    </row>
    <row r="139" spans="1:10" ht="12.75">
      <c r="A139" s="87" t="s">
        <v>306</v>
      </c>
      <c r="B139" s="88" t="b">
        <f>B8=E139</f>
        <v>1</v>
      </c>
      <c r="C139" s="88"/>
      <c r="D139" s="88">
        <f>0.06*D138</f>
        <v>0</v>
      </c>
      <c r="E139" s="89" t="s">
        <v>40</v>
      </c>
      <c r="F139" s="90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1:10" ht="12.75">
      <c r="A141" s="80" t="s">
        <v>307</v>
      </c>
      <c r="B141" s="82">
        <v>15</v>
      </c>
      <c r="C141" s="82">
        <f>30+15*B134</f>
        <v>30</v>
      </c>
      <c r="D141" s="83" t="s">
        <v>308</v>
      </c>
      <c r="E141" s="83"/>
      <c r="F141" s="84"/>
      <c r="G141" s="9"/>
      <c r="H141" s="9"/>
      <c r="I141" s="9"/>
      <c r="J141" s="9"/>
    </row>
    <row r="142" spans="1:10" ht="12.75">
      <c r="A142" s="87" t="s">
        <v>309</v>
      </c>
      <c r="B142" s="89" t="e">
        <f>E142=1</f>
        <v>#REF!</v>
      </c>
      <c r="C142" s="88"/>
      <c r="D142" s="89"/>
      <c r="E142" s="89" t="e">
        <f>B128+B129</f>
        <v>#REF!</v>
      </c>
      <c r="F142" s="90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1:10" ht="13.5">
      <c r="A144" s="80" t="s">
        <v>310</v>
      </c>
      <c r="B144" s="82" t="b">
        <f>F28=E144</f>
        <v>0</v>
      </c>
      <c r="C144" s="82" t="b">
        <f>F28=F144</f>
        <v>1</v>
      </c>
      <c r="D144" s="92">
        <f>B144+C144</f>
        <v>1</v>
      </c>
      <c r="E144" s="83" t="s">
        <v>287</v>
      </c>
      <c r="F144" s="84" t="s">
        <v>156</v>
      </c>
      <c r="G144" s="9"/>
      <c r="H144" s="9"/>
      <c r="I144" s="9"/>
      <c r="J144" s="9"/>
    </row>
    <row r="145" spans="1:10" ht="13.5">
      <c r="A145" s="62" t="s">
        <v>311</v>
      </c>
      <c r="B145" s="66"/>
      <c r="C145" s="66" t="b">
        <f>G49=E145</f>
        <v>0</v>
      </c>
      <c r="D145" s="72">
        <f>B145+C145</f>
        <v>0</v>
      </c>
      <c r="E145" s="85">
        <v>0</v>
      </c>
      <c r="F145" s="86"/>
      <c r="G145" s="9"/>
      <c r="H145" s="9"/>
      <c r="I145" s="9"/>
      <c r="J145" s="9"/>
    </row>
    <row r="146" spans="1:10" ht="12.75">
      <c r="A146" s="87"/>
      <c r="B146" s="88"/>
      <c r="C146" s="88"/>
      <c r="D146" s="93">
        <f>D145=E146</f>
        <v>0</v>
      </c>
      <c r="E146" s="89">
        <v>1</v>
      </c>
      <c r="F146" s="90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1:10" ht="12.75">
      <c r="A148" t="s">
        <v>312</v>
      </c>
      <c r="D148" s="9" t="e">
        <f>E124+E127+D130+D144+D134</f>
        <v>#REF!</v>
      </c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</sheetData>
  <sheetProtection selectLockedCells="1" selectUnlockedCells="1"/>
  <printOptions gridLines="1"/>
  <pageMargins left="0.6298611111111111" right="0.5513888888888889" top="0.31527777777777777" bottom="0.5513888888888889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2006-01-13T09:33:37Z</cp:lastPrinted>
  <dcterms:created xsi:type="dcterms:W3CDTF">2006-03-11T10:37:49Z</dcterms:created>
  <dcterms:modified xsi:type="dcterms:W3CDTF">2011-03-02T17:53:09Z</dcterms:modified>
  <cp:category/>
  <cp:version/>
  <cp:contentType/>
  <cp:contentStatus/>
  <cp:revision>9</cp:revision>
</cp:coreProperties>
</file>